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tables/table2.xml" ContentType="application/vnd.openxmlformats-officedocument.spreadsheetml.table+xml"/>
  <Override PartName="/xl/drawings/drawing5.xml" ContentType="application/vnd.openxmlformats-officedocument.drawing+xml"/>
  <Override PartName="/xl/tables/table3.xml" ContentType="application/vnd.openxmlformats-officedocument.spreadsheetml.table+xml"/>
  <Override PartName="/xl/drawings/drawing6.xml" ContentType="application/vnd.openxmlformats-officedocument.drawing+xml"/>
  <Override PartName="/xl/tables/table4.xml" ContentType="application/vnd.openxmlformats-officedocument.spreadsheetml.table+xml"/>
  <Override PartName="/xl/drawings/drawing7.xml" ContentType="application/vnd.openxmlformats-officedocument.drawing+xml"/>
  <Override PartName="/xl/tables/table5.xml" ContentType="application/vnd.openxmlformats-officedocument.spreadsheetml.table+xml"/>
  <Override PartName="/xl/drawings/drawing8.xml" ContentType="application/vnd.openxmlformats-officedocument.drawing+xml"/>
  <Override PartName="/xl/tables/table6.xml" ContentType="application/vnd.openxmlformats-officedocument.spreadsheetml.table+xml"/>
  <Override PartName="/xl/drawings/drawing9.xml" ContentType="application/vnd.openxmlformats-officedocument.drawing+xml"/>
  <Override PartName="/xl/tables/table7.xml" ContentType="application/vnd.openxmlformats-officedocument.spreadsheetml.table+xml"/>
  <Override PartName="/xl/drawings/drawing10.xml" ContentType="application/vnd.openxmlformats-officedocument.drawing+xml"/>
  <Override PartName="/xl/drawings/drawing11.xml" ContentType="application/vnd.openxmlformats-officedocument.drawing+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codeName="ThisWorkbook"/>
  <mc:AlternateContent xmlns:mc="http://schemas.openxmlformats.org/markup-compatibility/2006">
    <mc:Choice Requires="x15">
      <x15ac:absPath xmlns:x15ac="http://schemas.microsoft.com/office/spreadsheetml/2010/11/ac" url="\\men.lux\usr\h\Hanly826\Desktop\"/>
    </mc:Choice>
  </mc:AlternateContent>
  <xr:revisionPtr revIDLastSave="0" documentId="8_{21E7B531-6607-4F29-B51F-29334EF4F9AE}" xr6:coauthVersionLast="36" xr6:coauthVersionMax="36" xr10:uidLastSave="{00000000-0000-0000-0000-000000000000}"/>
  <workbookProtection workbookAlgorithmName="SHA-512" workbookHashValue="PK7+DZ26uit1q+b4VHphaRrIwi+lm34DOI+nKWvKcuxcq2aIJAgmr4zyVEBfJftkA8oqrfDsZ1UrWUadFzFJmQ==" workbookSaltValue="TfsZiLLNBky5zXLT/UIo8w==" workbookSpinCount="100000" lockStructure="1"/>
  <bookViews>
    <workbookView xWindow="0" yWindow="0" windowWidth="28800" windowHeight="11820" tabRatio="850" xr2:uid="{00000000-000D-0000-FFFF-FFFF00000000}"/>
  </bookViews>
  <sheets>
    <sheet name="Informations générales 1" sheetId="1" r:id="rId1"/>
    <sheet name="Information générales 2" sheetId="3" r:id="rId2"/>
    <sheet name="Information générales 3" sheetId="4" r:id="rId3"/>
    <sheet name="BPI" sheetId="5" state="hidden" r:id="rId4"/>
    <sheet name="EBS &amp; Renfort Temporaire" sheetId="6" r:id="rId5"/>
    <sheet name="FONCTIONNEMENT" sheetId="7" r:id="rId6"/>
    <sheet name="SALAIRES CCT SAS" sheetId="8" r:id="rId7"/>
    <sheet name="SALAIRES COMMUNE" sheetId="12" r:id="rId8"/>
    <sheet name="RECETTES" sheetId="13" r:id="rId9"/>
    <sheet name="TABLEAU FINAL" sheetId="14" r:id="rId10"/>
    <sheet name="TABLEAU FINAL COVID" sheetId="17" state="hidden" r:id="rId11"/>
    <sheet name="Variable et Dropdowns" sheetId="2" state="hidden" r:id="rId12"/>
    <sheet name="ETP RECAP" sheetId="16" state="hidden" r:id="rId13"/>
    <sheet name="REVEX" sheetId="15" state="hidden" r:id="rId14"/>
    <sheet name="RTT" sheetId="10" r:id="rId15"/>
    <sheet name="Grille CCT SAS" sheetId="9" r:id="rId16"/>
    <sheet name="Grille communale" sheetId="11" r:id="rId17"/>
  </sheets>
  <definedNames>
    <definedName name="Employé">'Grille communale'!$E$3:$E$17</definedName>
    <definedName name="Fonctionnaire">'Grille communale'!$D$3:$D$18</definedName>
    <definedName name="_xlnm.Print_Area" localSheetId="3">BPI!$B$1:$F$65</definedName>
    <definedName name="_xlnm.Print_Area" localSheetId="4">'EBS &amp; Renfort Temporaire'!$B$1:$H$109</definedName>
    <definedName name="_xlnm.Print_Area" localSheetId="5">FONCTIONNEMENT!$B$1:$G$502</definedName>
    <definedName name="_xlnm.Print_Area" localSheetId="1">'Information générales 2'!$B$1:$L$48</definedName>
    <definedName name="_xlnm.Print_Area" localSheetId="2">'Information générales 3'!$B$1:$D$74</definedName>
    <definedName name="_xlnm.Print_Area" localSheetId="0">'Informations générales 1'!$B$1:$F$61</definedName>
    <definedName name="_xlnm.Print_Area" localSheetId="8">RECETTES!$B$1:$G$101</definedName>
    <definedName name="_xlnm.Print_Area" localSheetId="6">'SALAIRES CCT SAS'!$B$1:$AG$511</definedName>
    <definedName name="_xlnm.Print_Area" localSheetId="7">'SALAIRES COMMUNE'!$B$1:$AF$511</definedName>
    <definedName name="_xlnm.Print_Area" localSheetId="9">'TABLEAU FINAL'!$B$1:$F$92</definedName>
    <definedName name="_xlnm.Print_Area" localSheetId="10">'TABLEAU FINAL COVID'!$B$1:$F$87</definedName>
    <definedName name="Redressement">REVEX!$B$156:$F$162</definedName>
    <definedName name="Salarié">'Grille communale'!$F$3:$F$6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0" i="12" l="1"/>
  <c r="P11" i="12"/>
  <c r="P12" i="12"/>
  <c r="P13" i="12"/>
  <c r="P14" i="12"/>
  <c r="P15" i="12"/>
  <c r="P16" i="12"/>
  <c r="P17" i="12"/>
  <c r="P18" i="12"/>
  <c r="P19" i="12"/>
  <c r="P20" i="12"/>
  <c r="P21" i="12"/>
  <c r="P22" i="12"/>
  <c r="P23" i="12"/>
  <c r="P24" i="12"/>
  <c r="P25" i="12"/>
  <c r="P26" i="12"/>
  <c r="P27" i="12"/>
  <c r="P28" i="12"/>
  <c r="P29" i="12"/>
  <c r="P30" i="12"/>
  <c r="P31" i="12"/>
  <c r="P32" i="12"/>
  <c r="P33" i="12"/>
  <c r="P34" i="12"/>
  <c r="P35" i="12"/>
  <c r="P36" i="12"/>
  <c r="P37" i="12"/>
  <c r="P38" i="12"/>
  <c r="P39" i="12"/>
  <c r="P40" i="12"/>
  <c r="P41" i="12"/>
  <c r="P42" i="12"/>
  <c r="P43" i="12"/>
  <c r="P44" i="12"/>
  <c r="P45" i="12"/>
  <c r="P46" i="12"/>
  <c r="P47" i="12"/>
  <c r="P48" i="12"/>
  <c r="P49" i="12"/>
  <c r="P50" i="12"/>
  <c r="P51" i="12"/>
  <c r="P52" i="12"/>
  <c r="P53" i="12"/>
  <c r="P54" i="12"/>
  <c r="P55" i="12"/>
  <c r="P56" i="12"/>
  <c r="P57" i="12"/>
  <c r="P58" i="12"/>
  <c r="P59" i="12"/>
  <c r="P60" i="12"/>
  <c r="P61" i="12"/>
  <c r="P62" i="12"/>
  <c r="P63" i="12"/>
  <c r="P64" i="12"/>
  <c r="P65" i="12"/>
  <c r="P66" i="12"/>
  <c r="P67" i="12"/>
  <c r="P68" i="12"/>
  <c r="P69" i="12"/>
  <c r="P70" i="12"/>
  <c r="P71" i="12"/>
  <c r="P72" i="12"/>
  <c r="P73" i="12"/>
  <c r="P74" i="12"/>
  <c r="P75" i="12"/>
  <c r="P76" i="12"/>
  <c r="P77" i="12"/>
  <c r="P78" i="12"/>
  <c r="P79" i="12"/>
  <c r="P80" i="12"/>
  <c r="P81" i="12"/>
  <c r="P82" i="12"/>
  <c r="P83" i="12"/>
  <c r="P84" i="12"/>
  <c r="P85" i="12"/>
  <c r="P86" i="12"/>
  <c r="P87" i="12"/>
  <c r="P88" i="12"/>
  <c r="P89" i="12"/>
  <c r="P90" i="12"/>
  <c r="P91" i="12"/>
  <c r="P92" i="12"/>
  <c r="P93" i="12"/>
  <c r="P94" i="12"/>
  <c r="P95" i="12"/>
  <c r="P96" i="12"/>
  <c r="P97" i="12"/>
  <c r="P98" i="12"/>
  <c r="P99" i="12"/>
  <c r="P100" i="12"/>
  <c r="P101" i="12"/>
  <c r="P102" i="12"/>
  <c r="P103" i="12"/>
  <c r="P104" i="12"/>
  <c r="P105" i="12"/>
  <c r="P106" i="12"/>
  <c r="P107" i="12"/>
  <c r="P108" i="12"/>
  <c r="P109" i="12"/>
  <c r="P110" i="12"/>
  <c r="P111" i="12"/>
  <c r="P112" i="12"/>
  <c r="P113" i="12"/>
  <c r="P114" i="12"/>
  <c r="P115" i="12"/>
  <c r="P116" i="12"/>
  <c r="P117" i="12"/>
  <c r="P118" i="12"/>
  <c r="P119" i="12"/>
  <c r="P120" i="12"/>
  <c r="P121" i="12"/>
  <c r="P122" i="12"/>
  <c r="P123" i="12"/>
  <c r="P124" i="12"/>
  <c r="P125" i="12"/>
  <c r="P126" i="12"/>
  <c r="P127" i="12"/>
  <c r="P128" i="12"/>
  <c r="P129" i="12"/>
  <c r="P130" i="12"/>
  <c r="P131" i="12"/>
  <c r="P132" i="12"/>
  <c r="P133" i="12"/>
  <c r="P134" i="12"/>
  <c r="P135" i="12"/>
  <c r="P136" i="12"/>
  <c r="P137" i="12"/>
  <c r="P138" i="12"/>
  <c r="P139" i="12"/>
  <c r="P140" i="12"/>
  <c r="P141" i="12"/>
  <c r="P142" i="12"/>
  <c r="P143" i="12"/>
  <c r="P144" i="12"/>
  <c r="P145" i="12"/>
  <c r="P146" i="12"/>
  <c r="P147" i="12"/>
  <c r="P148" i="12"/>
  <c r="P149" i="12"/>
  <c r="P150" i="12"/>
  <c r="P151" i="12"/>
  <c r="P152" i="12"/>
  <c r="P153" i="12"/>
  <c r="P154" i="12"/>
  <c r="P155" i="12"/>
  <c r="P156" i="12"/>
  <c r="P157" i="12"/>
  <c r="P158" i="12"/>
  <c r="P159" i="12"/>
  <c r="P160" i="12"/>
  <c r="P161" i="12"/>
  <c r="P162" i="12"/>
  <c r="P163" i="12"/>
  <c r="P164" i="12"/>
  <c r="P165" i="12"/>
  <c r="P166" i="12"/>
  <c r="P167" i="12"/>
  <c r="P168" i="12"/>
  <c r="P169" i="12"/>
  <c r="P170" i="12"/>
  <c r="P171" i="12"/>
  <c r="P172" i="12"/>
  <c r="P173" i="12"/>
  <c r="P174" i="12"/>
  <c r="P175" i="12"/>
  <c r="P176" i="12"/>
  <c r="P177" i="12"/>
  <c r="P178" i="12"/>
  <c r="P179" i="12"/>
  <c r="P180" i="12"/>
  <c r="P181" i="12"/>
  <c r="P182" i="12"/>
  <c r="P183" i="12"/>
  <c r="P184" i="12"/>
  <c r="P185" i="12"/>
  <c r="P186" i="12"/>
  <c r="P187" i="12"/>
  <c r="P188" i="12"/>
  <c r="P189" i="12"/>
  <c r="P190" i="12"/>
  <c r="P191" i="12"/>
  <c r="P192" i="12"/>
  <c r="P193" i="12"/>
  <c r="P194" i="12"/>
  <c r="P195" i="12"/>
  <c r="P196" i="12"/>
  <c r="P197" i="12"/>
  <c r="P198" i="12"/>
  <c r="P199" i="12"/>
  <c r="P200" i="12"/>
  <c r="P201" i="12"/>
  <c r="P202" i="12"/>
  <c r="P203" i="12"/>
  <c r="P204" i="12"/>
  <c r="P205" i="12"/>
  <c r="P206" i="12"/>
  <c r="P207" i="12"/>
  <c r="P208" i="12"/>
  <c r="P209" i="12"/>
  <c r="P210" i="12"/>
  <c r="P211" i="12"/>
  <c r="P212" i="12"/>
  <c r="P213" i="12"/>
  <c r="P214" i="12"/>
  <c r="P215" i="12"/>
  <c r="P216" i="12"/>
  <c r="P217" i="12"/>
  <c r="P218" i="12"/>
  <c r="P219" i="12"/>
  <c r="P220" i="12"/>
  <c r="P221" i="12"/>
  <c r="P222" i="12"/>
  <c r="P223" i="12"/>
  <c r="P224" i="12"/>
  <c r="P225" i="12"/>
  <c r="P226" i="12"/>
  <c r="P227" i="12"/>
  <c r="P228" i="12"/>
  <c r="P229" i="12"/>
  <c r="P230" i="12"/>
  <c r="P231" i="12"/>
  <c r="P232" i="12"/>
  <c r="P233" i="12"/>
  <c r="P234" i="12"/>
  <c r="P235" i="12"/>
  <c r="P236" i="12"/>
  <c r="P237" i="12"/>
  <c r="P238" i="12"/>
  <c r="P239" i="12"/>
  <c r="P240" i="12"/>
  <c r="P241" i="12"/>
  <c r="P242" i="12"/>
  <c r="P243" i="12"/>
  <c r="P244" i="12"/>
  <c r="P245" i="12"/>
  <c r="P246" i="12"/>
  <c r="P247" i="12"/>
  <c r="P248" i="12"/>
  <c r="P249" i="12"/>
  <c r="P250" i="12"/>
  <c r="P251" i="12"/>
  <c r="P252" i="12"/>
  <c r="P253" i="12"/>
  <c r="P254" i="12"/>
  <c r="P255" i="12"/>
  <c r="P256" i="12"/>
  <c r="P257" i="12"/>
  <c r="P258" i="12"/>
  <c r="P259" i="12"/>
  <c r="P260" i="12"/>
  <c r="P261" i="12"/>
  <c r="P262" i="12"/>
  <c r="P263" i="12"/>
  <c r="P264" i="12"/>
  <c r="P265" i="12"/>
  <c r="P266" i="12"/>
  <c r="P267" i="12"/>
  <c r="P268" i="12"/>
  <c r="P269" i="12"/>
  <c r="P270" i="12"/>
  <c r="P271" i="12"/>
  <c r="P272" i="12"/>
  <c r="P273" i="12"/>
  <c r="P274" i="12"/>
  <c r="P275" i="12"/>
  <c r="P276" i="12"/>
  <c r="P277" i="12"/>
  <c r="P278" i="12"/>
  <c r="P279" i="12"/>
  <c r="P280" i="12"/>
  <c r="P281" i="12"/>
  <c r="P282" i="12"/>
  <c r="P283" i="12"/>
  <c r="P284" i="12"/>
  <c r="P285" i="12"/>
  <c r="P286" i="12"/>
  <c r="P287" i="12"/>
  <c r="P288" i="12"/>
  <c r="P289" i="12"/>
  <c r="P290" i="12"/>
  <c r="P291" i="12"/>
  <c r="P292" i="12"/>
  <c r="P293" i="12"/>
  <c r="P294" i="12"/>
  <c r="P295" i="12"/>
  <c r="P296" i="12"/>
  <c r="P297" i="12"/>
  <c r="P298" i="12"/>
  <c r="P299" i="12"/>
  <c r="P300" i="12"/>
  <c r="P301" i="12"/>
  <c r="P302" i="12"/>
  <c r="P303" i="12"/>
  <c r="P304" i="12"/>
  <c r="P305" i="12"/>
  <c r="P306" i="12"/>
  <c r="P307" i="12"/>
  <c r="P308" i="12"/>
  <c r="P309" i="12"/>
  <c r="P310" i="12"/>
  <c r="P311" i="12"/>
  <c r="P312" i="12"/>
  <c r="P313" i="12"/>
  <c r="P314" i="12"/>
  <c r="P315" i="12"/>
  <c r="P316" i="12"/>
  <c r="P317" i="12"/>
  <c r="P318" i="12"/>
  <c r="P319" i="12"/>
  <c r="P320" i="12"/>
  <c r="P321" i="12"/>
  <c r="P322" i="12"/>
  <c r="P323" i="12"/>
  <c r="P324" i="12"/>
  <c r="P325" i="12"/>
  <c r="P326" i="12"/>
  <c r="P327" i="12"/>
  <c r="P328" i="12"/>
  <c r="P329" i="12"/>
  <c r="P330" i="12"/>
  <c r="P331" i="12"/>
  <c r="P332" i="12"/>
  <c r="P333" i="12"/>
  <c r="P334" i="12"/>
  <c r="P335" i="12"/>
  <c r="P336" i="12"/>
  <c r="P337" i="12"/>
  <c r="P338" i="12"/>
  <c r="P339" i="12"/>
  <c r="P340" i="12"/>
  <c r="P341" i="12"/>
  <c r="P342" i="12"/>
  <c r="P343" i="12"/>
  <c r="P344" i="12"/>
  <c r="P345" i="12"/>
  <c r="P346" i="12"/>
  <c r="P347" i="12"/>
  <c r="P348" i="12"/>
  <c r="P349" i="12"/>
  <c r="P350" i="12"/>
  <c r="P351" i="12"/>
  <c r="P352" i="12"/>
  <c r="P353" i="12"/>
  <c r="P354" i="12"/>
  <c r="P355" i="12"/>
  <c r="P356" i="12"/>
  <c r="P357" i="12"/>
  <c r="P358" i="12"/>
  <c r="P359" i="12"/>
  <c r="P360" i="12"/>
  <c r="P361" i="12"/>
  <c r="P362" i="12"/>
  <c r="P363" i="12"/>
  <c r="P364" i="12"/>
  <c r="P365" i="12"/>
  <c r="P366" i="12"/>
  <c r="P367" i="12"/>
  <c r="P368" i="12"/>
  <c r="P369" i="12"/>
  <c r="P370" i="12"/>
  <c r="P371" i="12"/>
  <c r="P372" i="12"/>
  <c r="P373" i="12"/>
  <c r="P374" i="12"/>
  <c r="P375" i="12"/>
  <c r="P376" i="12"/>
  <c r="P377" i="12"/>
  <c r="P378" i="12"/>
  <c r="P379" i="12"/>
  <c r="P380" i="12"/>
  <c r="P381" i="12"/>
  <c r="P382" i="12"/>
  <c r="P383" i="12"/>
  <c r="P384" i="12"/>
  <c r="P385" i="12"/>
  <c r="P386" i="12"/>
  <c r="P387" i="12"/>
  <c r="P388" i="12"/>
  <c r="P389" i="12"/>
  <c r="P390" i="12"/>
  <c r="P391" i="12"/>
  <c r="P392" i="12"/>
  <c r="P393" i="12"/>
  <c r="P394" i="12"/>
  <c r="P395" i="12"/>
  <c r="P396" i="12"/>
  <c r="P397" i="12"/>
  <c r="P398" i="12"/>
  <c r="P399" i="12"/>
  <c r="P400" i="12"/>
  <c r="P401" i="12"/>
  <c r="P402" i="12"/>
  <c r="P403" i="12"/>
  <c r="P404" i="12"/>
  <c r="P405" i="12"/>
  <c r="P406" i="12"/>
  <c r="P407" i="12"/>
  <c r="P408" i="12"/>
  <c r="P409" i="12"/>
  <c r="P410" i="12"/>
  <c r="P411" i="12"/>
  <c r="P412" i="12"/>
  <c r="P413" i="12"/>
  <c r="P414" i="12"/>
  <c r="P415" i="12"/>
  <c r="P416" i="12"/>
  <c r="P417" i="12"/>
  <c r="P418" i="12"/>
  <c r="P419" i="12"/>
  <c r="P420" i="12"/>
  <c r="P421" i="12"/>
  <c r="P422" i="12"/>
  <c r="P423" i="12"/>
  <c r="P424" i="12"/>
  <c r="P425" i="12"/>
  <c r="P426" i="12"/>
  <c r="P427" i="12"/>
  <c r="P428" i="12"/>
  <c r="P429" i="12"/>
  <c r="P430" i="12"/>
  <c r="P431" i="12"/>
  <c r="P432" i="12"/>
  <c r="P433" i="12"/>
  <c r="P434" i="12"/>
  <c r="P435" i="12"/>
  <c r="P436" i="12"/>
  <c r="P437" i="12"/>
  <c r="P438" i="12"/>
  <c r="P439" i="12"/>
  <c r="P440" i="12"/>
  <c r="P441" i="12"/>
  <c r="P442" i="12"/>
  <c r="P443" i="12"/>
  <c r="P444" i="12"/>
  <c r="P445" i="12"/>
  <c r="P446" i="12"/>
  <c r="P447" i="12"/>
  <c r="P448" i="12"/>
  <c r="P449" i="12"/>
  <c r="P450" i="12"/>
  <c r="P451" i="12"/>
  <c r="P452" i="12"/>
  <c r="P453" i="12"/>
  <c r="P454" i="12"/>
  <c r="P455" i="12"/>
  <c r="P456" i="12"/>
  <c r="P457" i="12"/>
  <c r="P458" i="12"/>
  <c r="P459" i="12"/>
  <c r="P460" i="12"/>
  <c r="P461" i="12"/>
  <c r="P462" i="12"/>
  <c r="P463" i="12"/>
  <c r="P464" i="12"/>
  <c r="P465" i="12"/>
  <c r="P466" i="12"/>
  <c r="P467" i="12"/>
  <c r="P468" i="12"/>
  <c r="P469" i="12"/>
  <c r="P470" i="12"/>
  <c r="P471" i="12"/>
  <c r="P472" i="12"/>
  <c r="P473" i="12"/>
  <c r="P474" i="12"/>
  <c r="P475" i="12"/>
  <c r="P476" i="12"/>
  <c r="P477" i="12"/>
  <c r="P478" i="12"/>
  <c r="P479" i="12"/>
  <c r="P480" i="12"/>
  <c r="P481" i="12"/>
  <c r="P482" i="12"/>
  <c r="P483" i="12"/>
  <c r="P484" i="12"/>
  <c r="P485" i="12"/>
  <c r="P486" i="12"/>
  <c r="P487" i="12"/>
  <c r="P488" i="12"/>
  <c r="P489" i="12"/>
  <c r="P490" i="12"/>
  <c r="P491" i="12"/>
  <c r="P492" i="12"/>
  <c r="P493" i="12"/>
  <c r="P494" i="12"/>
  <c r="P495" i="12"/>
  <c r="P496" i="12"/>
  <c r="P497" i="12"/>
  <c r="P498" i="12"/>
  <c r="P499" i="12"/>
  <c r="P500" i="12"/>
  <c r="P501" i="12"/>
  <c r="P502" i="12"/>
  <c r="P503" i="12"/>
  <c r="P504" i="12"/>
  <c r="P505" i="12"/>
  <c r="P506" i="12"/>
  <c r="P507" i="12"/>
  <c r="P508" i="12"/>
  <c r="P509" i="12"/>
  <c r="P510" i="12"/>
  <c r="E186" i="15" l="1"/>
  <c r="E185" i="15"/>
  <c r="B186" i="15" l="1"/>
  <c r="C211" i="15"/>
  <c r="D211" i="15"/>
  <c r="E211" i="15"/>
  <c r="F211" i="15"/>
  <c r="C212" i="15"/>
  <c r="D212" i="15"/>
  <c r="E212" i="15"/>
  <c r="F212" i="15"/>
  <c r="C213" i="15"/>
  <c r="D213" i="15"/>
  <c r="E213" i="15"/>
  <c r="F213" i="15"/>
  <c r="C214" i="15"/>
  <c r="D214" i="15"/>
  <c r="E214" i="15"/>
  <c r="F214" i="15"/>
  <c r="C215" i="15"/>
  <c r="D215" i="15"/>
  <c r="E215" i="15"/>
  <c r="F215" i="15"/>
  <c r="C216" i="15"/>
  <c r="D216" i="15"/>
  <c r="E216" i="15"/>
  <c r="F216" i="15"/>
  <c r="C217" i="15"/>
  <c r="D217" i="15"/>
  <c r="E217" i="15"/>
  <c r="F217" i="15"/>
  <c r="C218" i="15"/>
  <c r="D218" i="15"/>
  <c r="E218" i="15"/>
  <c r="F218" i="15"/>
  <c r="C219" i="15"/>
  <c r="D219" i="15"/>
  <c r="E219" i="15"/>
  <c r="F219" i="15"/>
  <c r="C220" i="15"/>
  <c r="D220" i="15"/>
  <c r="E220" i="15"/>
  <c r="F220" i="15"/>
  <c r="C221" i="15"/>
  <c r="D221" i="15"/>
  <c r="E221" i="15"/>
  <c r="F221" i="15"/>
  <c r="C222" i="15"/>
  <c r="D222" i="15"/>
  <c r="E222" i="15"/>
  <c r="F222" i="15"/>
  <c r="C223" i="15"/>
  <c r="D223" i="15"/>
  <c r="E223" i="15"/>
  <c r="F223" i="15"/>
  <c r="C224" i="15"/>
  <c r="D224" i="15"/>
  <c r="E224" i="15"/>
  <c r="F224" i="15"/>
  <c r="C225" i="15"/>
  <c r="D225" i="15"/>
  <c r="E225" i="15"/>
  <c r="F225" i="15"/>
  <c r="C226" i="15"/>
  <c r="D226" i="15"/>
  <c r="E226" i="15"/>
  <c r="F226" i="15"/>
  <c r="C227" i="15"/>
  <c r="D227" i="15"/>
  <c r="E227" i="15"/>
  <c r="F227" i="15"/>
  <c r="C228" i="15"/>
  <c r="D228" i="15"/>
  <c r="E228" i="15"/>
  <c r="F228" i="15"/>
  <c r="F210" i="15"/>
  <c r="E210" i="15"/>
  <c r="D210" i="15"/>
  <c r="C210" i="15"/>
  <c r="N10" i="8"/>
  <c r="N11" i="8"/>
  <c r="N12" i="8"/>
  <c r="N13" i="8"/>
  <c r="N14" i="8"/>
  <c r="N15" i="8"/>
  <c r="N16" i="8"/>
  <c r="N17" i="8"/>
  <c r="N18" i="8"/>
  <c r="N19" i="8"/>
  <c r="N20" i="8"/>
  <c r="N21" i="8"/>
  <c r="N22" i="8"/>
  <c r="N23" i="8"/>
  <c r="N24" i="8"/>
  <c r="N25" i="8"/>
  <c r="N26" i="8"/>
  <c r="N27" i="8"/>
  <c r="N28" i="8"/>
  <c r="N29" i="8"/>
  <c r="N30" i="8"/>
  <c r="N31" i="8"/>
  <c r="N32" i="8"/>
  <c r="N33" i="8"/>
  <c r="N34" i="8"/>
  <c r="N35" i="8"/>
  <c r="N36" i="8"/>
  <c r="N37" i="8"/>
  <c r="N38" i="8"/>
  <c r="N39" i="8"/>
  <c r="N40" i="8"/>
  <c r="N41" i="8"/>
  <c r="N42" i="8"/>
  <c r="N43" i="8"/>
  <c r="N44" i="8"/>
  <c r="N45" i="8"/>
  <c r="N46" i="8"/>
  <c r="N47" i="8"/>
  <c r="N48" i="8"/>
  <c r="N49" i="8"/>
  <c r="N50" i="8"/>
  <c r="N51" i="8"/>
  <c r="N52" i="8"/>
  <c r="N53" i="8"/>
  <c r="N54" i="8"/>
  <c r="N55" i="8"/>
  <c r="N56" i="8"/>
  <c r="N57" i="8"/>
  <c r="N58" i="8"/>
  <c r="N59" i="8"/>
  <c r="N60" i="8"/>
  <c r="N61" i="8"/>
  <c r="N62" i="8"/>
  <c r="N63" i="8"/>
  <c r="N64" i="8"/>
  <c r="N65" i="8"/>
  <c r="N66" i="8"/>
  <c r="N67" i="8"/>
  <c r="N68" i="8"/>
  <c r="N69" i="8"/>
  <c r="N70" i="8"/>
  <c r="N71" i="8"/>
  <c r="N72" i="8"/>
  <c r="N73" i="8"/>
  <c r="N74" i="8"/>
  <c r="N75" i="8"/>
  <c r="N76" i="8"/>
  <c r="N77" i="8"/>
  <c r="N78" i="8"/>
  <c r="N79" i="8"/>
  <c r="N80" i="8"/>
  <c r="N81" i="8"/>
  <c r="N82" i="8"/>
  <c r="N83" i="8"/>
  <c r="N84" i="8"/>
  <c r="N85" i="8"/>
  <c r="N86" i="8"/>
  <c r="N87" i="8"/>
  <c r="N88" i="8"/>
  <c r="N89" i="8"/>
  <c r="N90" i="8"/>
  <c r="N91" i="8"/>
  <c r="N92" i="8"/>
  <c r="N93" i="8"/>
  <c r="N94" i="8"/>
  <c r="N95" i="8"/>
  <c r="N96" i="8"/>
  <c r="N97" i="8"/>
  <c r="N98" i="8"/>
  <c r="N99" i="8"/>
  <c r="N100" i="8"/>
  <c r="N101" i="8"/>
  <c r="N102" i="8"/>
  <c r="N103" i="8"/>
  <c r="N104" i="8"/>
  <c r="N105" i="8"/>
  <c r="N106" i="8"/>
  <c r="N107" i="8"/>
  <c r="N108" i="8"/>
  <c r="N109" i="8"/>
  <c r="N110" i="8"/>
  <c r="N111" i="8"/>
  <c r="N112" i="8"/>
  <c r="N113" i="8"/>
  <c r="N114" i="8"/>
  <c r="N115" i="8"/>
  <c r="N116" i="8"/>
  <c r="N117" i="8"/>
  <c r="N118" i="8"/>
  <c r="N119" i="8"/>
  <c r="N120" i="8"/>
  <c r="N121" i="8"/>
  <c r="N122" i="8"/>
  <c r="N123" i="8"/>
  <c r="N124" i="8"/>
  <c r="N125" i="8"/>
  <c r="N126" i="8"/>
  <c r="N127" i="8"/>
  <c r="N128" i="8"/>
  <c r="N129" i="8"/>
  <c r="N130" i="8"/>
  <c r="N131" i="8"/>
  <c r="N132" i="8"/>
  <c r="N133" i="8"/>
  <c r="N134" i="8"/>
  <c r="N135" i="8"/>
  <c r="N136" i="8"/>
  <c r="N137" i="8"/>
  <c r="N138" i="8"/>
  <c r="N139" i="8"/>
  <c r="N140" i="8"/>
  <c r="N141" i="8"/>
  <c r="N142" i="8"/>
  <c r="N143" i="8"/>
  <c r="N144" i="8"/>
  <c r="N145" i="8"/>
  <c r="N146" i="8"/>
  <c r="N147" i="8"/>
  <c r="N148" i="8"/>
  <c r="N149" i="8"/>
  <c r="N150" i="8"/>
  <c r="N151" i="8"/>
  <c r="N152" i="8"/>
  <c r="N153" i="8"/>
  <c r="N154" i="8"/>
  <c r="N155" i="8"/>
  <c r="N156" i="8"/>
  <c r="N157" i="8"/>
  <c r="N158" i="8"/>
  <c r="N159" i="8"/>
  <c r="N160" i="8"/>
  <c r="N161" i="8"/>
  <c r="N162" i="8"/>
  <c r="N163" i="8"/>
  <c r="N164" i="8"/>
  <c r="N165" i="8"/>
  <c r="N166" i="8"/>
  <c r="N167" i="8"/>
  <c r="N168" i="8"/>
  <c r="N169" i="8"/>
  <c r="N170" i="8"/>
  <c r="N171" i="8"/>
  <c r="N172" i="8"/>
  <c r="N173" i="8"/>
  <c r="N174" i="8"/>
  <c r="N175" i="8"/>
  <c r="N176" i="8"/>
  <c r="N177" i="8"/>
  <c r="N178" i="8"/>
  <c r="N179" i="8"/>
  <c r="N180" i="8"/>
  <c r="N181" i="8"/>
  <c r="N182" i="8"/>
  <c r="N183" i="8"/>
  <c r="N184" i="8"/>
  <c r="N185" i="8"/>
  <c r="N186" i="8"/>
  <c r="N187" i="8"/>
  <c r="N188" i="8"/>
  <c r="N189" i="8"/>
  <c r="N190" i="8"/>
  <c r="N191" i="8"/>
  <c r="N192" i="8"/>
  <c r="N193" i="8"/>
  <c r="N194" i="8"/>
  <c r="N195" i="8"/>
  <c r="N196" i="8"/>
  <c r="N197" i="8"/>
  <c r="N198" i="8"/>
  <c r="N199" i="8"/>
  <c r="N200" i="8"/>
  <c r="N201" i="8"/>
  <c r="N202" i="8"/>
  <c r="N203" i="8"/>
  <c r="N204" i="8"/>
  <c r="N205" i="8"/>
  <c r="N206" i="8"/>
  <c r="N207" i="8"/>
  <c r="N208" i="8"/>
  <c r="N209" i="8"/>
  <c r="N210" i="8"/>
  <c r="N211" i="8"/>
  <c r="N212" i="8"/>
  <c r="N213" i="8"/>
  <c r="N214" i="8"/>
  <c r="N215" i="8"/>
  <c r="N216" i="8"/>
  <c r="N217" i="8"/>
  <c r="N218" i="8"/>
  <c r="N219" i="8"/>
  <c r="N220" i="8"/>
  <c r="N221" i="8"/>
  <c r="N222" i="8"/>
  <c r="N223" i="8"/>
  <c r="N224" i="8"/>
  <c r="N225" i="8"/>
  <c r="N226" i="8"/>
  <c r="N227" i="8"/>
  <c r="N228" i="8"/>
  <c r="N229" i="8"/>
  <c r="N230" i="8"/>
  <c r="N231" i="8"/>
  <c r="N232" i="8"/>
  <c r="N233" i="8"/>
  <c r="N234" i="8"/>
  <c r="N235" i="8"/>
  <c r="N236" i="8"/>
  <c r="N237" i="8"/>
  <c r="N238" i="8"/>
  <c r="N239" i="8"/>
  <c r="N240" i="8"/>
  <c r="N241" i="8"/>
  <c r="N242" i="8"/>
  <c r="N243" i="8"/>
  <c r="N244" i="8"/>
  <c r="N245" i="8"/>
  <c r="N246" i="8"/>
  <c r="N247" i="8"/>
  <c r="N248" i="8"/>
  <c r="N249" i="8"/>
  <c r="N250" i="8"/>
  <c r="N251" i="8"/>
  <c r="N252" i="8"/>
  <c r="N253" i="8"/>
  <c r="N254" i="8"/>
  <c r="N255" i="8"/>
  <c r="N256" i="8"/>
  <c r="N257" i="8"/>
  <c r="N258" i="8"/>
  <c r="N259" i="8"/>
  <c r="N260" i="8"/>
  <c r="N261" i="8"/>
  <c r="N262" i="8"/>
  <c r="N263" i="8"/>
  <c r="N264" i="8"/>
  <c r="N265" i="8"/>
  <c r="N266" i="8"/>
  <c r="N267" i="8"/>
  <c r="N268" i="8"/>
  <c r="N269" i="8"/>
  <c r="N270" i="8"/>
  <c r="N271" i="8"/>
  <c r="N272" i="8"/>
  <c r="N273" i="8"/>
  <c r="N274" i="8"/>
  <c r="N275" i="8"/>
  <c r="N276" i="8"/>
  <c r="N277" i="8"/>
  <c r="N278" i="8"/>
  <c r="N279" i="8"/>
  <c r="N280" i="8"/>
  <c r="N281" i="8"/>
  <c r="N282" i="8"/>
  <c r="N283" i="8"/>
  <c r="N284" i="8"/>
  <c r="N285" i="8"/>
  <c r="N286" i="8"/>
  <c r="N287" i="8"/>
  <c r="N288" i="8"/>
  <c r="N289" i="8"/>
  <c r="N290" i="8"/>
  <c r="N291" i="8"/>
  <c r="N292" i="8"/>
  <c r="N293" i="8"/>
  <c r="N294" i="8"/>
  <c r="N295" i="8"/>
  <c r="N296" i="8"/>
  <c r="N297" i="8"/>
  <c r="N298" i="8"/>
  <c r="N299" i="8"/>
  <c r="N300" i="8"/>
  <c r="N301" i="8"/>
  <c r="N302" i="8"/>
  <c r="N303" i="8"/>
  <c r="N304" i="8"/>
  <c r="N305" i="8"/>
  <c r="N306" i="8"/>
  <c r="N307" i="8"/>
  <c r="N308" i="8"/>
  <c r="N309" i="8"/>
  <c r="N310" i="8"/>
  <c r="N311" i="8"/>
  <c r="N312" i="8"/>
  <c r="N313" i="8"/>
  <c r="N314" i="8"/>
  <c r="N315" i="8"/>
  <c r="N316" i="8"/>
  <c r="N317" i="8"/>
  <c r="N318" i="8"/>
  <c r="N319" i="8"/>
  <c r="N320" i="8"/>
  <c r="N321" i="8"/>
  <c r="N322" i="8"/>
  <c r="N323" i="8"/>
  <c r="N324" i="8"/>
  <c r="N325" i="8"/>
  <c r="N326" i="8"/>
  <c r="N327" i="8"/>
  <c r="N328" i="8"/>
  <c r="N329" i="8"/>
  <c r="N330" i="8"/>
  <c r="N331" i="8"/>
  <c r="N332" i="8"/>
  <c r="N333" i="8"/>
  <c r="N334" i="8"/>
  <c r="N335" i="8"/>
  <c r="N336" i="8"/>
  <c r="N337" i="8"/>
  <c r="N338" i="8"/>
  <c r="N339" i="8"/>
  <c r="N340" i="8"/>
  <c r="N341" i="8"/>
  <c r="N342" i="8"/>
  <c r="N343" i="8"/>
  <c r="N344" i="8"/>
  <c r="N345" i="8"/>
  <c r="N346" i="8"/>
  <c r="N347" i="8"/>
  <c r="N348" i="8"/>
  <c r="N349" i="8"/>
  <c r="N350" i="8"/>
  <c r="N351" i="8"/>
  <c r="N352" i="8"/>
  <c r="N353" i="8"/>
  <c r="N354" i="8"/>
  <c r="N355" i="8"/>
  <c r="N356" i="8"/>
  <c r="N357" i="8"/>
  <c r="N358" i="8"/>
  <c r="N359" i="8"/>
  <c r="N360" i="8"/>
  <c r="N361" i="8"/>
  <c r="N362" i="8"/>
  <c r="N363" i="8"/>
  <c r="N364" i="8"/>
  <c r="N365" i="8"/>
  <c r="N366" i="8"/>
  <c r="N367" i="8"/>
  <c r="N368" i="8"/>
  <c r="N369" i="8"/>
  <c r="N370" i="8"/>
  <c r="N371" i="8"/>
  <c r="N372" i="8"/>
  <c r="N373" i="8"/>
  <c r="N374" i="8"/>
  <c r="N375" i="8"/>
  <c r="N376" i="8"/>
  <c r="N377" i="8"/>
  <c r="N378" i="8"/>
  <c r="N379" i="8"/>
  <c r="N380" i="8"/>
  <c r="N381" i="8"/>
  <c r="N382" i="8"/>
  <c r="N383" i="8"/>
  <c r="N384" i="8"/>
  <c r="N385" i="8"/>
  <c r="N386" i="8"/>
  <c r="N387" i="8"/>
  <c r="N388" i="8"/>
  <c r="N389" i="8"/>
  <c r="N390" i="8"/>
  <c r="N391" i="8"/>
  <c r="N392" i="8"/>
  <c r="N393" i="8"/>
  <c r="N394" i="8"/>
  <c r="N395" i="8"/>
  <c r="N396" i="8"/>
  <c r="N397" i="8"/>
  <c r="N398" i="8"/>
  <c r="N399" i="8"/>
  <c r="N400" i="8"/>
  <c r="N401" i="8"/>
  <c r="N402" i="8"/>
  <c r="N403" i="8"/>
  <c r="N404" i="8"/>
  <c r="N405" i="8"/>
  <c r="N406" i="8"/>
  <c r="N407" i="8"/>
  <c r="N408" i="8"/>
  <c r="N409" i="8"/>
  <c r="N410" i="8"/>
  <c r="N411" i="8"/>
  <c r="N412" i="8"/>
  <c r="N413" i="8"/>
  <c r="N414" i="8"/>
  <c r="N415" i="8"/>
  <c r="N416" i="8"/>
  <c r="N417" i="8"/>
  <c r="N418" i="8"/>
  <c r="N419" i="8"/>
  <c r="N420" i="8"/>
  <c r="N421" i="8"/>
  <c r="N422" i="8"/>
  <c r="N423" i="8"/>
  <c r="N424" i="8"/>
  <c r="N425" i="8"/>
  <c r="N426" i="8"/>
  <c r="N427" i="8"/>
  <c r="N428" i="8"/>
  <c r="N429" i="8"/>
  <c r="N430" i="8"/>
  <c r="N431" i="8"/>
  <c r="N432" i="8"/>
  <c r="N433" i="8"/>
  <c r="N434" i="8"/>
  <c r="N435" i="8"/>
  <c r="N436" i="8"/>
  <c r="N437" i="8"/>
  <c r="N438" i="8"/>
  <c r="N439" i="8"/>
  <c r="N440" i="8"/>
  <c r="N441" i="8"/>
  <c r="N442" i="8"/>
  <c r="N443" i="8"/>
  <c r="N444" i="8"/>
  <c r="N445" i="8"/>
  <c r="N446" i="8"/>
  <c r="N447" i="8"/>
  <c r="N448" i="8"/>
  <c r="N449" i="8"/>
  <c r="N450" i="8"/>
  <c r="N451" i="8"/>
  <c r="N452" i="8"/>
  <c r="N453" i="8"/>
  <c r="N454" i="8"/>
  <c r="N455" i="8"/>
  <c r="N456" i="8"/>
  <c r="N457" i="8"/>
  <c r="N458" i="8"/>
  <c r="N459" i="8"/>
  <c r="N460" i="8"/>
  <c r="N461" i="8"/>
  <c r="N462" i="8"/>
  <c r="N463" i="8"/>
  <c r="N464" i="8"/>
  <c r="N465" i="8"/>
  <c r="N466" i="8"/>
  <c r="N467" i="8"/>
  <c r="N468" i="8"/>
  <c r="N469" i="8"/>
  <c r="N470" i="8"/>
  <c r="N471" i="8"/>
  <c r="N472" i="8"/>
  <c r="N473" i="8"/>
  <c r="N474" i="8"/>
  <c r="N475" i="8"/>
  <c r="N476" i="8"/>
  <c r="N477" i="8"/>
  <c r="N478" i="8"/>
  <c r="N479" i="8"/>
  <c r="N480" i="8"/>
  <c r="N481" i="8"/>
  <c r="N482" i="8"/>
  <c r="N483" i="8"/>
  <c r="N484" i="8"/>
  <c r="N485" i="8"/>
  <c r="N486" i="8"/>
  <c r="N487" i="8"/>
  <c r="N488" i="8"/>
  <c r="N489" i="8"/>
  <c r="N490" i="8"/>
  <c r="N491" i="8"/>
  <c r="N492" i="8"/>
  <c r="N493" i="8"/>
  <c r="N494" i="8"/>
  <c r="N495" i="8"/>
  <c r="N496" i="8"/>
  <c r="N497" i="8"/>
  <c r="N498" i="8"/>
  <c r="N499" i="8"/>
  <c r="N500" i="8"/>
  <c r="N501" i="8"/>
  <c r="N502" i="8"/>
  <c r="N503" i="8"/>
  <c r="N504" i="8"/>
  <c r="N505" i="8"/>
  <c r="N506" i="8"/>
  <c r="N507" i="8"/>
  <c r="N508" i="8"/>
  <c r="N509" i="8"/>
  <c r="N510" i="8"/>
  <c r="C229" i="15" l="1"/>
  <c r="D229" i="15"/>
  <c r="E229" i="15"/>
  <c r="F229" i="15"/>
  <c r="Z10" i="12" l="1"/>
  <c r="Z11" i="12"/>
  <c r="Z12" i="12"/>
  <c r="Z13" i="12"/>
  <c r="Z14" i="12"/>
  <c r="Z15" i="12"/>
  <c r="Z16" i="12"/>
  <c r="Z17" i="12"/>
  <c r="Z18" i="12"/>
  <c r="Z19" i="12"/>
  <c r="Z20" i="12"/>
  <c r="Z21" i="12"/>
  <c r="Z22" i="12"/>
  <c r="Z23" i="12"/>
  <c r="Z24" i="12"/>
  <c r="Z25" i="12"/>
  <c r="Z26" i="12"/>
  <c r="Z27" i="12"/>
  <c r="Z28" i="12"/>
  <c r="Z29" i="12"/>
  <c r="Z30" i="12"/>
  <c r="Z31" i="12"/>
  <c r="Z32" i="12"/>
  <c r="Z33" i="12"/>
  <c r="Z34" i="12"/>
  <c r="Z35" i="12"/>
  <c r="Z36" i="12"/>
  <c r="Z37" i="12"/>
  <c r="Z38" i="12"/>
  <c r="Z39" i="12"/>
  <c r="Z40" i="12"/>
  <c r="Z41" i="12"/>
  <c r="Z42" i="12"/>
  <c r="Z43" i="12"/>
  <c r="Z44" i="12"/>
  <c r="Z45" i="12"/>
  <c r="Z46" i="12"/>
  <c r="Z47" i="12"/>
  <c r="Z48" i="12"/>
  <c r="Z49" i="12"/>
  <c r="Z50" i="12"/>
  <c r="Z51" i="12"/>
  <c r="Z52" i="12"/>
  <c r="Z53" i="12"/>
  <c r="Z54" i="12"/>
  <c r="Z55" i="12"/>
  <c r="Z56" i="12"/>
  <c r="Z57" i="12"/>
  <c r="Z58" i="12"/>
  <c r="Z59" i="12"/>
  <c r="Z60" i="12"/>
  <c r="Z61" i="12"/>
  <c r="Z62" i="12"/>
  <c r="Z63" i="12"/>
  <c r="Z64" i="12"/>
  <c r="Z65" i="12"/>
  <c r="Z66" i="12"/>
  <c r="Z67" i="12"/>
  <c r="Z68" i="12"/>
  <c r="Z69" i="12"/>
  <c r="Z70" i="12"/>
  <c r="Z71" i="12"/>
  <c r="Z72" i="12"/>
  <c r="Z73" i="12"/>
  <c r="Z74" i="12"/>
  <c r="Z75" i="12"/>
  <c r="Z76" i="12"/>
  <c r="Z77" i="12"/>
  <c r="Z78" i="12"/>
  <c r="Z79" i="12"/>
  <c r="Z80" i="12"/>
  <c r="Z81" i="12"/>
  <c r="Z82" i="12"/>
  <c r="Z83" i="12"/>
  <c r="Z84" i="12"/>
  <c r="Z85" i="12"/>
  <c r="Z86" i="12"/>
  <c r="Z87" i="12"/>
  <c r="Z88" i="12"/>
  <c r="Z89" i="12"/>
  <c r="Z90" i="12"/>
  <c r="Z91" i="12"/>
  <c r="Z92" i="12"/>
  <c r="Z93" i="12"/>
  <c r="Z94" i="12"/>
  <c r="Z95" i="12"/>
  <c r="Z96" i="12"/>
  <c r="Z97" i="12"/>
  <c r="Z98" i="12"/>
  <c r="Z99" i="12"/>
  <c r="Z100" i="12"/>
  <c r="Z101" i="12"/>
  <c r="Z102" i="12"/>
  <c r="Z103" i="12"/>
  <c r="Z104" i="12"/>
  <c r="Z105" i="12"/>
  <c r="Z106" i="12"/>
  <c r="Z107" i="12"/>
  <c r="Z108" i="12"/>
  <c r="Z109" i="12"/>
  <c r="Z110" i="12"/>
  <c r="Z111" i="12"/>
  <c r="Z112" i="12"/>
  <c r="Z113" i="12"/>
  <c r="Z114" i="12"/>
  <c r="Z115" i="12"/>
  <c r="Z116" i="12"/>
  <c r="Z117" i="12"/>
  <c r="Z118" i="12"/>
  <c r="Z119" i="12"/>
  <c r="Z120" i="12"/>
  <c r="Z121" i="12"/>
  <c r="Z122" i="12"/>
  <c r="Z123" i="12"/>
  <c r="Z124" i="12"/>
  <c r="Z125" i="12"/>
  <c r="Z126" i="12"/>
  <c r="Z127" i="12"/>
  <c r="Z128" i="12"/>
  <c r="Z129" i="12"/>
  <c r="Z130" i="12"/>
  <c r="Z131" i="12"/>
  <c r="Z132" i="12"/>
  <c r="Z133" i="12"/>
  <c r="Z134" i="12"/>
  <c r="Z135" i="12"/>
  <c r="Z136" i="12"/>
  <c r="Z137" i="12"/>
  <c r="Z138" i="12"/>
  <c r="Z139" i="12"/>
  <c r="Z140" i="12"/>
  <c r="Z141" i="12"/>
  <c r="Z142" i="12"/>
  <c r="Z143" i="12"/>
  <c r="Z144" i="12"/>
  <c r="Z145" i="12"/>
  <c r="Z146" i="12"/>
  <c r="Z147" i="12"/>
  <c r="Z148" i="12"/>
  <c r="Z149" i="12"/>
  <c r="Z150" i="12"/>
  <c r="Z151" i="12"/>
  <c r="Z152" i="12"/>
  <c r="Z153" i="12"/>
  <c r="Z154" i="12"/>
  <c r="Z155" i="12"/>
  <c r="Z156" i="12"/>
  <c r="Z157" i="12"/>
  <c r="Z158" i="12"/>
  <c r="Z159" i="12"/>
  <c r="Z160" i="12"/>
  <c r="Z161" i="12"/>
  <c r="Z162" i="12"/>
  <c r="Z163" i="12"/>
  <c r="Z164" i="12"/>
  <c r="Z165" i="12"/>
  <c r="Z166" i="12"/>
  <c r="Z167" i="12"/>
  <c r="Z168" i="12"/>
  <c r="Z169" i="12"/>
  <c r="Z170" i="12"/>
  <c r="Z171" i="12"/>
  <c r="Z172" i="12"/>
  <c r="Z173" i="12"/>
  <c r="Z174" i="12"/>
  <c r="Z175" i="12"/>
  <c r="Z176" i="12"/>
  <c r="Z177" i="12"/>
  <c r="Z178" i="12"/>
  <c r="Z179" i="12"/>
  <c r="Z180" i="12"/>
  <c r="Z181" i="12"/>
  <c r="Z182" i="12"/>
  <c r="Z183" i="12"/>
  <c r="Z184" i="12"/>
  <c r="Z185" i="12"/>
  <c r="Z186" i="12"/>
  <c r="Z187" i="12"/>
  <c r="Z188" i="12"/>
  <c r="Z189" i="12"/>
  <c r="Z190" i="12"/>
  <c r="Z191" i="12"/>
  <c r="Z192" i="12"/>
  <c r="Z193" i="12"/>
  <c r="Z194" i="12"/>
  <c r="Z195" i="12"/>
  <c r="Z196" i="12"/>
  <c r="Z197" i="12"/>
  <c r="Z198" i="12"/>
  <c r="Z199" i="12"/>
  <c r="Z200" i="12"/>
  <c r="Z201" i="12"/>
  <c r="Z202" i="12"/>
  <c r="Z203" i="12"/>
  <c r="Z204" i="12"/>
  <c r="Z205" i="12"/>
  <c r="Z206" i="12"/>
  <c r="Z207" i="12"/>
  <c r="Z208" i="12"/>
  <c r="Z209" i="12"/>
  <c r="Z210" i="12"/>
  <c r="Z211" i="12"/>
  <c r="Z212" i="12"/>
  <c r="Z213" i="12"/>
  <c r="Z214" i="12"/>
  <c r="Z215" i="12"/>
  <c r="Z216" i="12"/>
  <c r="Z217" i="12"/>
  <c r="Z218" i="12"/>
  <c r="Z219" i="12"/>
  <c r="Z220" i="12"/>
  <c r="Z221" i="12"/>
  <c r="Z222" i="12"/>
  <c r="Z223" i="12"/>
  <c r="Z224" i="12"/>
  <c r="Z225" i="12"/>
  <c r="Z226" i="12"/>
  <c r="Z227" i="12"/>
  <c r="Z228" i="12"/>
  <c r="Z229" i="12"/>
  <c r="Z230" i="12"/>
  <c r="Z231" i="12"/>
  <c r="Z232" i="12"/>
  <c r="Z233" i="12"/>
  <c r="Z234" i="12"/>
  <c r="Z235" i="12"/>
  <c r="Z236" i="12"/>
  <c r="Z237" i="12"/>
  <c r="Z238" i="12"/>
  <c r="Z239" i="12"/>
  <c r="Z240" i="12"/>
  <c r="Z241" i="12"/>
  <c r="Z242" i="12"/>
  <c r="Z243" i="12"/>
  <c r="Z244" i="12"/>
  <c r="Z245" i="12"/>
  <c r="Z246" i="12"/>
  <c r="Z247" i="12"/>
  <c r="Z248" i="12"/>
  <c r="Z249" i="12"/>
  <c r="Z250" i="12"/>
  <c r="Z251" i="12"/>
  <c r="Z252" i="12"/>
  <c r="Z253" i="12"/>
  <c r="Z254" i="12"/>
  <c r="Z255" i="12"/>
  <c r="Z256" i="12"/>
  <c r="Z257" i="12"/>
  <c r="Z258" i="12"/>
  <c r="Z259" i="12"/>
  <c r="Z260" i="12"/>
  <c r="Z261" i="12"/>
  <c r="Z262" i="12"/>
  <c r="Z263" i="12"/>
  <c r="Z264" i="12"/>
  <c r="Z265" i="12"/>
  <c r="Z266" i="12"/>
  <c r="Z267" i="12"/>
  <c r="Z268" i="12"/>
  <c r="Z269" i="12"/>
  <c r="Z270" i="12"/>
  <c r="Z271" i="12"/>
  <c r="Z272" i="12"/>
  <c r="Z273" i="12"/>
  <c r="Z274" i="12"/>
  <c r="Z275" i="12"/>
  <c r="Z276" i="12"/>
  <c r="Z277" i="12"/>
  <c r="Z278" i="12"/>
  <c r="Z279" i="12"/>
  <c r="Z280" i="12"/>
  <c r="Z281" i="12"/>
  <c r="Z282" i="12"/>
  <c r="Z283" i="12"/>
  <c r="Z284" i="12"/>
  <c r="Z285" i="12"/>
  <c r="Z286" i="12"/>
  <c r="Z287" i="12"/>
  <c r="Z288" i="12"/>
  <c r="Z289" i="12"/>
  <c r="Z290" i="12"/>
  <c r="Z291" i="12"/>
  <c r="Z292" i="12"/>
  <c r="Z293" i="12"/>
  <c r="Z294" i="12"/>
  <c r="Z295" i="12"/>
  <c r="Z296" i="12"/>
  <c r="Z297" i="12"/>
  <c r="Z298" i="12"/>
  <c r="Z299" i="12"/>
  <c r="Z300" i="12"/>
  <c r="Z301" i="12"/>
  <c r="Z302" i="12"/>
  <c r="Z303" i="12"/>
  <c r="Z304" i="12"/>
  <c r="Z305" i="12"/>
  <c r="Z306" i="12"/>
  <c r="Z307" i="12"/>
  <c r="Z308" i="12"/>
  <c r="Z309" i="12"/>
  <c r="Z310" i="12"/>
  <c r="Z311" i="12"/>
  <c r="Z312" i="12"/>
  <c r="Z313" i="12"/>
  <c r="Z314" i="12"/>
  <c r="Z315" i="12"/>
  <c r="Z316" i="12"/>
  <c r="Z317" i="12"/>
  <c r="Z318" i="12"/>
  <c r="Z319" i="12"/>
  <c r="Z320" i="12"/>
  <c r="Z321" i="12"/>
  <c r="Z322" i="12"/>
  <c r="Z323" i="12"/>
  <c r="Z324" i="12"/>
  <c r="Z325" i="12"/>
  <c r="Z326" i="12"/>
  <c r="Z327" i="12"/>
  <c r="Z328" i="12"/>
  <c r="Z329" i="12"/>
  <c r="Z330" i="12"/>
  <c r="Z331" i="12"/>
  <c r="Z332" i="12"/>
  <c r="Z333" i="12"/>
  <c r="Z334" i="12"/>
  <c r="Z335" i="12"/>
  <c r="Z336" i="12"/>
  <c r="Z337" i="12"/>
  <c r="Z338" i="12"/>
  <c r="Z339" i="12"/>
  <c r="Z340" i="12"/>
  <c r="Z341" i="12"/>
  <c r="Z342" i="12"/>
  <c r="Z343" i="12"/>
  <c r="Z344" i="12"/>
  <c r="Z345" i="12"/>
  <c r="Z346" i="12"/>
  <c r="Z347" i="12"/>
  <c r="Z348" i="12"/>
  <c r="Z349" i="12"/>
  <c r="Z350" i="12"/>
  <c r="Z351" i="12"/>
  <c r="Z352" i="12"/>
  <c r="Z353" i="12"/>
  <c r="Z354" i="12"/>
  <c r="Z355" i="12"/>
  <c r="Z356" i="12"/>
  <c r="Z357" i="12"/>
  <c r="Z358" i="12"/>
  <c r="Z359" i="12"/>
  <c r="Z360" i="12"/>
  <c r="Z361" i="12"/>
  <c r="Z362" i="12"/>
  <c r="Z363" i="12"/>
  <c r="Z364" i="12"/>
  <c r="Z365" i="12"/>
  <c r="Z366" i="12"/>
  <c r="Z367" i="12"/>
  <c r="Z368" i="12"/>
  <c r="Z369" i="12"/>
  <c r="Z370" i="12"/>
  <c r="Z371" i="12"/>
  <c r="Z372" i="12"/>
  <c r="Z373" i="12"/>
  <c r="Z374" i="12"/>
  <c r="Z375" i="12"/>
  <c r="Z376" i="12"/>
  <c r="Z377" i="12"/>
  <c r="Z378" i="12"/>
  <c r="Z379" i="12"/>
  <c r="Z380" i="12"/>
  <c r="Z381" i="12"/>
  <c r="Z382" i="12"/>
  <c r="Z383" i="12"/>
  <c r="Z384" i="12"/>
  <c r="Z385" i="12"/>
  <c r="Z386" i="12"/>
  <c r="Z387" i="12"/>
  <c r="Z388" i="12"/>
  <c r="Z389" i="12"/>
  <c r="Z390" i="12"/>
  <c r="Z391" i="12"/>
  <c r="Z392" i="12"/>
  <c r="Z393" i="12"/>
  <c r="Z394" i="12"/>
  <c r="Z395" i="12"/>
  <c r="Z396" i="12"/>
  <c r="Z397" i="12"/>
  <c r="Z398" i="12"/>
  <c r="Z399" i="12"/>
  <c r="Z400" i="12"/>
  <c r="Z401" i="12"/>
  <c r="Z402" i="12"/>
  <c r="Z403" i="12"/>
  <c r="Z404" i="12"/>
  <c r="Z405" i="12"/>
  <c r="Z406" i="12"/>
  <c r="Z407" i="12"/>
  <c r="Z408" i="12"/>
  <c r="Z409" i="12"/>
  <c r="Z410" i="12"/>
  <c r="Z411" i="12"/>
  <c r="Z412" i="12"/>
  <c r="Z413" i="12"/>
  <c r="Z414" i="12"/>
  <c r="Z415" i="12"/>
  <c r="Z416" i="12"/>
  <c r="Z417" i="12"/>
  <c r="Z418" i="12"/>
  <c r="Z419" i="12"/>
  <c r="Z420" i="12"/>
  <c r="Z421" i="12"/>
  <c r="Z422" i="12"/>
  <c r="Z423" i="12"/>
  <c r="Z424" i="12"/>
  <c r="Z425" i="12"/>
  <c r="Z426" i="12"/>
  <c r="Z427" i="12"/>
  <c r="Z428" i="12"/>
  <c r="Z429" i="12"/>
  <c r="Z430" i="12"/>
  <c r="Z431" i="12"/>
  <c r="Z432" i="12"/>
  <c r="Z433" i="12"/>
  <c r="Z434" i="12"/>
  <c r="Z435" i="12"/>
  <c r="Z436" i="12"/>
  <c r="Z437" i="12"/>
  <c r="Z438" i="12"/>
  <c r="Z439" i="12"/>
  <c r="Z440" i="12"/>
  <c r="Z441" i="12"/>
  <c r="Z442" i="12"/>
  <c r="Z443" i="12"/>
  <c r="Z444" i="12"/>
  <c r="Z445" i="12"/>
  <c r="Z446" i="12"/>
  <c r="Z447" i="12"/>
  <c r="Z448" i="12"/>
  <c r="Z449" i="12"/>
  <c r="Z450" i="12"/>
  <c r="Z451" i="12"/>
  <c r="Z452" i="12"/>
  <c r="Z453" i="12"/>
  <c r="Z454" i="12"/>
  <c r="Z455" i="12"/>
  <c r="Z456" i="12"/>
  <c r="Z457" i="12"/>
  <c r="Z458" i="12"/>
  <c r="Z459" i="12"/>
  <c r="Z460" i="12"/>
  <c r="Z461" i="12"/>
  <c r="Z462" i="12"/>
  <c r="Z463" i="12"/>
  <c r="Z464" i="12"/>
  <c r="Z465" i="12"/>
  <c r="Z466" i="12"/>
  <c r="Z467" i="12"/>
  <c r="Z468" i="12"/>
  <c r="Z469" i="12"/>
  <c r="Z470" i="12"/>
  <c r="Z471" i="12"/>
  <c r="Z472" i="12"/>
  <c r="Z473" i="12"/>
  <c r="Z474" i="12"/>
  <c r="Z475" i="12"/>
  <c r="Z476" i="12"/>
  <c r="Z477" i="12"/>
  <c r="Z478" i="12"/>
  <c r="Z479" i="12"/>
  <c r="Z480" i="12"/>
  <c r="Z481" i="12"/>
  <c r="Z482" i="12"/>
  <c r="Z483" i="12"/>
  <c r="Z484" i="12"/>
  <c r="Z485" i="12"/>
  <c r="Z486" i="12"/>
  <c r="Z487" i="12"/>
  <c r="Z488" i="12"/>
  <c r="Z489" i="12"/>
  <c r="Z490" i="12"/>
  <c r="Z491" i="12"/>
  <c r="Z492" i="12"/>
  <c r="Z493" i="12"/>
  <c r="Z494" i="12"/>
  <c r="Z495" i="12"/>
  <c r="Z496" i="12"/>
  <c r="Z497" i="12"/>
  <c r="Z498" i="12"/>
  <c r="Z499" i="12"/>
  <c r="Z500" i="12"/>
  <c r="Z501" i="12"/>
  <c r="Z502" i="12"/>
  <c r="Z503" i="12"/>
  <c r="Z504" i="12"/>
  <c r="Z505" i="12"/>
  <c r="Z506" i="12"/>
  <c r="Z507" i="12"/>
  <c r="Z508" i="12"/>
  <c r="Z509" i="12"/>
  <c r="Z510" i="12"/>
  <c r="B73" i="14" l="1"/>
  <c r="A74" i="14"/>
  <c r="B74" i="14" s="1"/>
  <c r="AH91" i="2" l="1"/>
  <c r="AG91" i="2"/>
  <c r="AF91" i="2"/>
  <c r="AE91" i="2"/>
  <c r="AD91" i="2"/>
  <c r="AC91" i="2"/>
  <c r="AH90" i="2"/>
  <c r="AG90" i="2"/>
  <c r="AF90" i="2"/>
  <c r="AE90" i="2"/>
  <c r="AD90" i="2"/>
  <c r="AC90" i="2"/>
  <c r="AH89" i="2"/>
  <c r="AG89" i="2"/>
  <c r="AF89" i="2"/>
  <c r="AE89" i="2"/>
  <c r="AD89" i="2"/>
  <c r="AC89" i="2"/>
  <c r="AH88" i="2"/>
  <c r="AG88" i="2"/>
  <c r="AF88" i="2"/>
  <c r="AE88" i="2"/>
  <c r="AD88" i="2"/>
  <c r="AC88" i="2"/>
  <c r="AH87" i="2"/>
  <c r="AG87" i="2"/>
  <c r="AF87" i="2"/>
  <c r="AE87" i="2"/>
  <c r="AD87" i="2"/>
  <c r="AC87" i="2"/>
  <c r="AH86" i="2"/>
  <c r="AG86" i="2"/>
  <c r="AF86" i="2"/>
  <c r="AE86" i="2"/>
  <c r="AD86" i="2"/>
  <c r="AC86" i="2"/>
  <c r="AH85" i="2"/>
  <c r="AG85" i="2"/>
  <c r="AF85" i="2"/>
  <c r="AE85" i="2"/>
  <c r="AD85" i="2"/>
  <c r="AC85" i="2"/>
  <c r="AH84" i="2"/>
  <c r="AG84" i="2"/>
  <c r="AF84" i="2"/>
  <c r="AE84" i="2"/>
  <c r="AD84" i="2"/>
  <c r="AC84" i="2"/>
  <c r="AH83" i="2"/>
  <c r="AG83" i="2"/>
  <c r="AF83" i="2"/>
  <c r="AE83" i="2"/>
  <c r="AD83" i="2"/>
  <c r="AC83" i="2"/>
  <c r="AH82" i="2"/>
  <c r="AG82" i="2"/>
  <c r="AF82" i="2"/>
  <c r="AE82" i="2"/>
  <c r="AD82" i="2"/>
  <c r="AC82" i="2"/>
  <c r="AH81" i="2"/>
  <c r="AG81" i="2"/>
  <c r="AF81" i="2"/>
  <c r="AE81" i="2"/>
  <c r="AD81" i="2"/>
  <c r="AC81" i="2"/>
  <c r="AH80" i="2"/>
  <c r="AG80" i="2"/>
  <c r="AF80" i="2"/>
  <c r="AE80" i="2"/>
  <c r="AD80" i="2"/>
  <c r="AC80" i="2"/>
  <c r="AH79" i="2"/>
  <c r="AG79" i="2"/>
  <c r="AF79" i="2"/>
  <c r="AE79" i="2"/>
  <c r="AD79" i="2"/>
  <c r="AC79" i="2"/>
  <c r="AH78" i="2"/>
  <c r="AG78" i="2"/>
  <c r="AF78" i="2"/>
  <c r="AE78" i="2"/>
  <c r="AD78" i="2"/>
  <c r="AC78" i="2"/>
  <c r="AH77" i="2"/>
  <c r="AG77" i="2"/>
  <c r="AF77" i="2"/>
  <c r="AE77" i="2"/>
  <c r="AD77" i="2"/>
  <c r="AC77" i="2"/>
  <c r="AH76" i="2"/>
  <c r="AG76" i="2"/>
  <c r="AF76" i="2"/>
  <c r="AE76" i="2"/>
  <c r="AD76" i="2"/>
  <c r="AC76" i="2"/>
  <c r="AH75" i="2"/>
  <c r="AG75" i="2"/>
  <c r="AF75" i="2"/>
  <c r="AE75" i="2"/>
  <c r="AD75" i="2"/>
  <c r="AC75" i="2"/>
  <c r="AH74" i="2"/>
  <c r="AG74" i="2"/>
  <c r="AF74" i="2"/>
  <c r="AE74" i="2"/>
  <c r="AD74" i="2"/>
  <c r="AC74" i="2"/>
  <c r="AH73" i="2"/>
  <c r="AG73" i="2"/>
  <c r="AF73" i="2"/>
  <c r="AE73" i="2"/>
  <c r="AD73" i="2"/>
  <c r="AC73" i="2"/>
  <c r="AH72" i="2"/>
  <c r="AG72" i="2"/>
  <c r="AF72" i="2"/>
  <c r="AE72" i="2"/>
  <c r="AD72" i="2"/>
  <c r="AC72" i="2"/>
  <c r="AH71" i="2"/>
  <c r="AG71" i="2"/>
  <c r="AF71" i="2"/>
  <c r="AE71" i="2"/>
  <c r="AD71" i="2"/>
  <c r="AC71" i="2"/>
  <c r="AH70" i="2"/>
  <c r="AG70" i="2"/>
  <c r="AF70" i="2"/>
  <c r="AE70" i="2"/>
  <c r="AD70" i="2"/>
  <c r="AC70" i="2"/>
  <c r="AH69" i="2"/>
  <c r="AG69" i="2"/>
  <c r="AF69" i="2"/>
  <c r="AE69" i="2"/>
  <c r="AD69" i="2"/>
  <c r="AC69" i="2"/>
  <c r="AH68" i="2"/>
  <c r="AG68" i="2"/>
  <c r="AF68" i="2"/>
  <c r="AE68" i="2"/>
  <c r="AD68" i="2"/>
  <c r="AC68" i="2"/>
  <c r="AH67" i="2"/>
  <c r="AG67" i="2"/>
  <c r="AF67" i="2"/>
  <c r="AE67" i="2"/>
  <c r="AD67" i="2"/>
  <c r="AC67" i="2"/>
  <c r="AH66" i="2"/>
  <c r="AG66" i="2"/>
  <c r="AF66" i="2"/>
  <c r="AE66" i="2"/>
  <c r="AD66" i="2"/>
  <c r="AC66" i="2"/>
  <c r="AH65" i="2"/>
  <c r="AG65" i="2"/>
  <c r="AF65" i="2"/>
  <c r="AE65" i="2"/>
  <c r="AD65" i="2"/>
  <c r="AC65" i="2"/>
  <c r="AH64" i="2"/>
  <c r="AG64" i="2"/>
  <c r="AF64" i="2"/>
  <c r="AE64" i="2"/>
  <c r="AD64" i="2"/>
  <c r="AC64" i="2"/>
  <c r="AH63" i="2"/>
  <c r="AG63" i="2"/>
  <c r="AF63" i="2"/>
  <c r="AE63" i="2"/>
  <c r="AD63" i="2"/>
  <c r="AC63" i="2"/>
  <c r="AH62" i="2"/>
  <c r="AG62" i="2"/>
  <c r="AF62" i="2"/>
  <c r="AE62" i="2"/>
  <c r="AD62" i="2"/>
  <c r="AC62" i="2"/>
  <c r="AH61" i="2"/>
  <c r="AG61" i="2"/>
  <c r="AF61" i="2"/>
  <c r="AE61" i="2"/>
  <c r="AD61" i="2"/>
  <c r="AC61" i="2"/>
  <c r="AH60" i="2"/>
  <c r="AG60" i="2"/>
  <c r="AF60" i="2"/>
  <c r="AE60" i="2"/>
  <c r="AD60" i="2"/>
  <c r="AC60" i="2"/>
  <c r="AH59" i="2"/>
  <c r="AG59" i="2"/>
  <c r="AF59" i="2"/>
  <c r="AE59" i="2"/>
  <c r="AD59" i="2"/>
  <c r="AC59" i="2"/>
  <c r="AH58" i="2"/>
  <c r="AG58" i="2"/>
  <c r="AF58" i="2"/>
  <c r="AE58" i="2"/>
  <c r="AD58" i="2"/>
  <c r="AC58" i="2"/>
  <c r="AH57" i="2"/>
  <c r="AG57" i="2"/>
  <c r="AF57" i="2"/>
  <c r="AE57" i="2"/>
  <c r="AD57" i="2"/>
  <c r="AC57" i="2"/>
  <c r="AH56" i="2"/>
  <c r="AG56" i="2"/>
  <c r="AF56" i="2"/>
  <c r="AE56" i="2"/>
  <c r="AD56" i="2"/>
  <c r="AC56" i="2"/>
  <c r="AH55" i="2"/>
  <c r="AG55" i="2"/>
  <c r="AF55" i="2"/>
  <c r="AE55" i="2"/>
  <c r="AD55" i="2"/>
  <c r="AC55" i="2"/>
  <c r="AH54" i="2"/>
  <c r="AG54" i="2"/>
  <c r="AF54" i="2"/>
  <c r="AE54" i="2"/>
  <c r="AD54" i="2"/>
  <c r="AC54" i="2"/>
  <c r="AH53" i="2"/>
  <c r="AG53" i="2"/>
  <c r="AF53" i="2"/>
  <c r="AE53" i="2"/>
  <c r="AD53" i="2"/>
  <c r="AC53" i="2"/>
  <c r="AH52" i="2"/>
  <c r="AG52" i="2"/>
  <c r="AF52" i="2"/>
  <c r="AE52" i="2"/>
  <c r="AD52" i="2"/>
  <c r="AC52" i="2"/>
  <c r="AH51" i="2"/>
  <c r="AG51" i="2"/>
  <c r="AF51" i="2"/>
  <c r="AE51" i="2"/>
  <c r="AD51" i="2"/>
  <c r="AC51" i="2"/>
  <c r="AH50" i="2"/>
  <c r="AG50" i="2"/>
  <c r="AF50" i="2"/>
  <c r="AE50" i="2"/>
  <c r="AD50" i="2"/>
  <c r="AC50" i="2"/>
  <c r="AH49" i="2"/>
  <c r="AG49" i="2"/>
  <c r="AF49" i="2"/>
  <c r="AE49" i="2"/>
  <c r="AD49" i="2"/>
  <c r="AC49" i="2"/>
  <c r="AH48" i="2"/>
  <c r="AG48" i="2"/>
  <c r="AF48" i="2"/>
  <c r="AE48" i="2"/>
  <c r="AD48" i="2"/>
  <c r="AC48" i="2"/>
  <c r="AH47" i="2"/>
  <c r="AG47" i="2"/>
  <c r="AF47" i="2"/>
  <c r="AE47" i="2"/>
  <c r="AD47" i="2"/>
  <c r="AC47" i="2"/>
  <c r="AH46" i="2"/>
  <c r="AG46" i="2"/>
  <c r="AF46" i="2"/>
  <c r="AE46" i="2"/>
  <c r="AD46" i="2"/>
  <c r="AC46" i="2"/>
  <c r="AH45" i="2"/>
  <c r="AG45" i="2"/>
  <c r="AF45" i="2"/>
  <c r="AE45" i="2"/>
  <c r="AD45" i="2"/>
  <c r="AC45" i="2"/>
  <c r="AH44" i="2"/>
  <c r="AG44" i="2"/>
  <c r="AF44" i="2"/>
  <c r="AE44" i="2"/>
  <c r="AD44" i="2"/>
  <c r="AC44" i="2"/>
  <c r="AH43" i="2"/>
  <c r="AG43" i="2"/>
  <c r="AF43" i="2"/>
  <c r="AE43" i="2"/>
  <c r="AD43" i="2"/>
  <c r="AC43" i="2"/>
  <c r="AH42" i="2"/>
  <c r="AG42" i="2"/>
  <c r="AF42" i="2"/>
  <c r="AE42" i="2"/>
  <c r="AD42" i="2"/>
  <c r="AC42" i="2"/>
  <c r="AH41" i="2"/>
  <c r="AG41" i="2"/>
  <c r="AF41" i="2"/>
  <c r="AE41" i="2"/>
  <c r="AD41" i="2"/>
  <c r="AC41" i="2"/>
  <c r="AH40" i="2"/>
  <c r="AG40" i="2"/>
  <c r="AF40" i="2"/>
  <c r="AE40" i="2"/>
  <c r="AD40" i="2"/>
  <c r="AC40" i="2"/>
  <c r="AH39" i="2"/>
  <c r="AG39" i="2"/>
  <c r="AF39" i="2"/>
  <c r="AE39" i="2"/>
  <c r="AD39" i="2"/>
  <c r="AC39" i="2"/>
  <c r="AH38" i="2"/>
  <c r="AG38" i="2"/>
  <c r="AF38" i="2"/>
  <c r="AE38" i="2"/>
  <c r="AD38" i="2"/>
  <c r="AC38" i="2"/>
  <c r="AH37" i="2"/>
  <c r="AG37" i="2"/>
  <c r="AF37" i="2"/>
  <c r="AE37" i="2"/>
  <c r="AD37" i="2"/>
  <c r="AC37" i="2"/>
  <c r="AH36" i="2"/>
  <c r="AG36" i="2"/>
  <c r="AF36" i="2"/>
  <c r="AE36" i="2"/>
  <c r="AD36" i="2"/>
  <c r="AC36" i="2"/>
  <c r="AH35" i="2"/>
  <c r="AG35" i="2"/>
  <c r="AF35" i="2"/>
  <c r="AE35" i="2"/>
  <c r="AD35" i="2"/>
  <c r="AC35" i="2"/>
  <c r="AH34" i="2"/>
  <c r="AG34" i="2"/>
  <c r="AF34" i="2"/>
  <c r="AE34" i="2"/>
  <c r="AD34" i="2"/>
  <c r="AC34" i="2"/>
  <c r="AH33" i="2"/>
  <c r="AG33" i="2"/>
  <c r="AF33" i="2"/>
  <c r="AE33" i="2"/>
  <c r="AD33" i="2"/>
  <c r="AC33" i="2"/>
  <c r="AH32" i="2"/>
  <c r="AG32" i="2"/>
  <c r="AF32" i="2"/>
  <c r="AE32" i="2"/>
  <c r="AD32" i="2"/>
  <c r="AC32" i="2"/>
  <c r="AH31" i="2"/>
  <c r="AG31" i="2"/>
  <c r="AF31" i="2"/>
  <c r="AE31" i="2"/>
  <c r="AD31" i="2"/>
  <c r="AC31" i="2"/>
  <c r="AH30" i="2"/>
  <c r="AG30" i="2"/>
  <c r="AF30" i="2"/>
  <c r="AE30" i="2"/>
  <c r="AD30" i="2"/>
  <c r="AC30" i="2"/>
  <c r="AH29" i="2"/>
  <c r="AG29" i="2"/>
  <c r="AF29" i="2"/>
  <c r="AE29" i="2"/>
  <c r="AD29" i="2"/>
  <c r="AC29" i="2"/>
  <c r="AH28" i="2"/>
  <c r="AG28" i="2"/>
  <c r="AF28" i="2"/>
  <c r="AE28" i="2"/>
  <c r="AD28" i="2"/>
  <c r="AC28" i="2"/>
  <c r="AH27" i="2"/>
  <c r="AG27" i="2"/>
  <c r="AF27" i="2"/>
  <c r="AE27" i="2"/>
  <c r="AD27" i="2"/>
  <c r="AC27" i="2"/>
  <c r="R49" i="15"/>
  <c r="S49" i="15"/>
  <c r="T49" i="15"/>
  <c r="U49" i="15"/>
  <c r="V49" i="15"/>
  <c r="R50" i="15"/>
  <c r="S50" i="15"/>
  <c r="T50" i="15"/>
  <c r="U50" i="15"/>
  <c r="V50" i="15"/>
  <c r="R51" i="15"/>
  <c r="S51" i="15"/>
  <c r="T51" i="15"/>
  <c r="U51" i="15"/>
  <c r="V51" i="15"/>
  <c r="R52" i="15"/>
  <c r="S52" i="15"/>
  <c r="T52" i="15"/>
  <c r="U52" i="15"/>
  <c r="V52" i="15"/>
  <c r="R53" i="15"/>
  <c r="S53" i="15"/>
  <c r="T53" i="15"/>
  <c r="U53" i="15"/>
  <c r="V53" i="15"/>
  <c r="R54" i="15"/>
  <c r="S54" i="15"/>
  <c r="T54" i="15"/>
  <c r="U54" i="15"/>
  <c r="V54" i="15"/>
  <c r="R55" i="15"/>
  <c r="S55" i="15"/>
  <c r="T55" i="15"/>
  <c r="U55" i="15"/>
  <c r="V55" i="15"/>
  <c r="R56" i="15"/>
  <c r="S56" i="15"/>
  <c r="T56" i="15"/>
  <c r="U56" i="15"/>
  <c r="V56" i="15"/>
  <c r="R57" i="15"/>
  <c r="S57" i="15"/>
  <c r="T57" i="15"/>
  <c r="U57" i="15"/>
  <c r="V57" i="15"/>
  <c r="R58" i="15"/>
  <c r="S58" i="15"/>
  <c r="T58" i="15"/>
  <c r="U58" i="15"/>
  <c r="V58" i="15"/>
  <c r="R59" i="15"/>
  <c r="S59" i="15"/>
  <c r="T59" i="15"/>
  <c r="U59" i="15"/>
  <c r="V59" i="15"/>
  <c r="R60" i="15"/>
  <c r="S60" i="15"/>
  <c r="T60" i="15"/>
  <c r="U60" i="15"/>
  <c r="V60" i="15"/>
  <c r="R61" i="15"/>
  <c r="S61" i="15"/>
  <c r="T61" i="15"/>
  <c r="U61" i="15"/>
  <c r="V61" i="15"/>
  <c r="R62" i="15"/>
  <c r="S62" i="15"/>
  <c r="T62" i="15"/>
  <c r="U62" i="15"/>
  <c r="V62" i="15"/>
  <c r="R63" i="15"/>
  <c r="S63" i="15"/>
  <c r="T63" i="15"/>
  <c r="U63" i="15"/>
  <c r="V63" i="15"/>
  <c r="R64" i="15"/>
  <c r="S64" i="15"/>
  <c r="T64" i="15"/>
  <c r="U64" i="15"/>
  <c r="V64" i="15"/>
  <c r="R65" i="15"/>
  <c r="S65" i="15"/>
  <c r="T65" i="15"/>
  <c r="U65" i="15"/>
  <c r="V65" i="15"/>
  <c r="R66" i="15"/>
  <c r="S66" i="15"/>
  <c r="T66" i="15"/>
  <c r="U66" i="15"/>
  <c r="V66" i="15"/>
  <c r="V48" i="15"/>
  <c r="U48" i="15"/>
  <c r="T48" i="15"/>
  <c r="S48" i="15"/>
  <c r="R48" i="15"/>
  <c r="Q48" i="15"/>
  <c r="T30" i="15"/>
  <c r="U30" i="15"/>
  <c r="V30" i="15"/>
  <c r="T31" i="15"/>
  <c r="U31" i="15"/>
  <c r="V31" i="15"/>
  <c r="T32" i="15"/>
  <c r="U32" i="15"/>
  <c r="V32" i="15"/>
  <c r="T33" i="15"/>
  <c r="U33" i="15"/>
  <c r="V33" i="15"/>
  <c r="T34" i="15"/>
  <c r="U34" i="15"/>
  <c r="V34" i="15"/>
  <c r="T35" i="15"/>
  <c r="U35" i="15"/>
  <c r="V35" i="15"/>
  <c r="T36" i="15"/>
  <c r="U36" i="15"/>
  <c r="V36" i="15"/>
  <c r="T37" i="15"/>
  <c r="U37" i="15"/>
  <c r="V37" i="15"/>
  <c r="T38" i="15"/>
  <c r="U38" i="15"/>
  <c r="V38" i="15"/>
  <c r="T39" i="15"/>
  <c r="U39" i="15"/>
  <c r="V39" i="15"/>
  <c r="T40" i="15"/>
  <c r="U40" i="15"/>
  <c r="V40" i="15"/>
  <c r="T41" i="15"/>
  <c r="U41" i="15"/>
  <c r="V41" i="15"/>
  <c r="T42" i="15"/>
  <c r="U42" i="15"/>
  <c r="V42" i="15"/>
  <c r="T43" i="15"/>
  <c r="U43" i="15"/>
  <c r="V43" i="15"/>
  <c r="T44" i="15"/>
  <c r="U44" i="15"/>
  <c r="V44" i="15"/>
  <c r="T45" i="15"/>
  <c r="U45" i="15"/>
  <c r="V45" i="15"/>
  <c r="T46" i="15"/>
  <c r="U46" i="15"/>
  <c r="V46" i="15"/>
  <c r="T47" i="15"/>
  <c r="U47" i="15"/>
  <c r="V47" i="15"/>
  <c r="V29" i="15"/>
  <c r="U29" i="15"/>
  <c r="T29" i="15"/>
  <c r="S30" i="15"/>
  <c r="S31" i="15"/>
  <c r="S32" i="15"/>
  <c r="S33" i="15"/>
  <c r="S34" i="15"/>
  <c r="S35" i="15"/>
  <c r="S36" i="15"/>
  <c r="S37" i="15"/>
  <c r="S38" i="15"/>
  <c r="S39" i="15"/>
  <c r="S40" i="15"/>
  <c r="S41" i="15"/>
  <c r="S42" i="15"/>
  <c r="S43" i="15"/>
  <c r="S44" i="15"/>
  <c r="S45" i="15"/>
  <c r="S46" i="15"/>
  <c r="S47" i="15"/>
  <c r="S29" i="15"/>
  <c r="R29" i="15"/>
  <c r="R30" i="15"/>
  <c r="R31" i="15"/>
  <c r="R32" i="15"/>
  <c r="R33" i="15"/>
  <c r="R34" i="15"/>
  <c r="R35" i="15"/>
  <c r="R36" i="15"/>
  <c r="R37" i="15"/>
  <c r="R38" i="15"/>
  <c r="R39" i="15"/>
  <c r="R40" i="15"/>
  <c r="R41" i="15"/>
  <c r="R42" i="15"/>
  <c r="R43" i="15"/>
  <c r="R44" i="15"/>
  <c r="R45" i="15"/>
  <c r="R46" i="15"/>
  <c r="R47" i="15"/>
  <c r="R67" i="15"/>
  <c r="R68" i="15"/>
  <c r="R69" i="15"/>
  <c r="R70" i="15"/>
  <c r="R71" i="15"/>
  <c r="R72" i="15"/>
  <c r="R73" i="15"/>
  <c r="R74" i="15"/>
  <c r="Q29" i="15"/>
  <c r="Q49" i="15"/>
  <c r="Q50" i="15"/>
  <c r="Q51" i="15"/>
  <c r="Q52" i="15"/>
  <c r="Q53" i="15"/>
  <c r="Q54" i="15"/>
  <c r="Q55" i="15"/>
  <c r="Q56" i="15"/>
  <c r="Q57" i="15"/>
  <c r="Q58" i="15"/>
  <c r="Q59" i="15"/>
  <c r="Q60" i="15"/>
  <c r="Q61" i="15"/>
  <c r="Q62" i="15"/>
  <c r="Q63" i="15"/>
  <c r="Q64" i="15"/>
  <c r="Q65" i="15"/>
  <c r="Q66" i="15"/>
  <c r="Q25" i="15"/>
  <c r="R25" i="15"/>
  <c r="S25" i="15"/>
  <c r="T25" i="15"/>
  <c r="U25" i="15"/>
  <c r="V25" i="15"/>
  <c r="Q26" i="15"/>
  <c r="R26" i="15"/>
  <c r="S26" i="15"/>
  <c r="T26" i="15"/>
  <c r="U26" i="15"/>
  <c r="V26" i="15"/>
  <c r="Q27" i="15"/>
  <c r="R27" i="15"/>
  <c r="S27" i="15"/>
  <c r="T27" i="15"/>
  <c r="U27" i="15"/>
  <c r="V27" i="15"/>
  <c r="Q28" i="15"/>
  <c r="R28" i="15"/>
  <c r="S28" i="15"/>
  <c r="T28" i="15"/>
  <c r="U28" i="15"/>
  <c r="V28" i="15"/>
  <c r="Q30" i="15"/>
  <c r="Q31" i="15"/>
  <c r="Q32" i="15"/>
  <c r="Q33" i="15"/>
  <c r="Q34" i="15"/>
  <c r="Q35" i="15"/>
  <c r="Q36" i="15"/>
  <c r="Q37" i="15"/>
  <c r="Q38" i="15"/>
  <c r="Q39" i="15"/>
  <c r="Q40" i="15"/>
  <c r="Q41" i="15"/>
  <c r="Q42" i="15"/>
  <c r="Q43" i="15"/>
  <c r="Q44" i="15"/>
  <c r="Q45" i="15"/>
  <c r="Q46" i="15"/>
  <c r="Q47" i="15"/>
  <c r="AG24" i="2" l="1"/>
  <c r="AF92" i="2"/>
  <c r="AF25" i="2" s="1"/>
  <c r="AC24" i="2"/>
  <c r="AD24" i="2"/>
  <c r="AH24" i="2"/>
  <c r="AE24" i="2"/>
  <c r="AF24" i="2"/>
  <c r="AC92" i="2"/>
  <c r="AC25" i="2" s="1"/>
  <c r="AG92" i="2"/>
  <c r="AG25" i="2" s="1"/>
  <c r="AE92" i="2"/>
  <c r="AE25" i="2" s="1"/>
  <c r="AD92" i="2"/>
  <c r="AD25" i="2" s="1"/>
  <c r="AH92" i="2"/>
  <c r="AH25" i="2" s="1"/>
  <c r="B37" i="4"/>
  <c r="B36" i="4"/>
  <c r="B33" i="4"/>
  <c r="B32" i="4"/>
  <c r="B30" i="4"/>
  <c r="B29" i="4"/>
  <c r="B26" i="4"/>
  <c r="B20" i="4"/>
  <c r="B18" i="4"/>
  <c r="B17" i="4"/>
  <c r="B13" i="4"/>
  <c r="B12" i="4"/>
  <c r="D28" i="17" l="1"/>
  <c r="D33" i="17"/>
  <c r="D42" i="17"/>
  <c r="D46" i="17"/>
  <c r="D50" i="17"/>
  <c r="D51" i="17"/>
  <c r="D49" i="17"/>
  <c r="D48" i="17"/>
  <c r="D47" i="17"/>
  <c r="D45" i="17"/>
  <c r="D44" i="17"/>
  <c r="D43" i="17"/>
  <c r="D41" i="17"/>
  <c r="D40" i="17"/>
  <c r="D39" i="17"/>
  <c r="D38" i="17"/>
  <c r="D37" i="17"/>
  <c r="D36" i="17"/>
  <c r="D35" i="17"/>
  <c r="D34" i="17"/>
  <c r="D32" i="17"/>
  <c r="D31" i="17"/>
  <c r="D30" i="17"/>
  <c r="D29" i="17"/>
  <c r="D27" i="17"/>
  <c r="D25" i="17"/>
  <c r="AH98" i="2"/>
  <c r="H190" i="15" s="1"/>
  <c r="AH99" i="2"/>
  <c r="H191" i="15" s="1"/>
  <c r="AH100" i="2"/>
  <c r="H192" i="15" s="1"/>
  <c r="AH101" i="2"/>
  <c r="H193" i="15" s="1"/>
  <c r="AH102" i="2"/>
  <c r="H194" i="15" s="1"/>
  <c r="AH103" i="2"/>
  <c r="H195" i="15" s="1"/>
  <c r="AH104" i="2"/>
  <c r="H196" i="15" s="1"/>
  <c r="AH105" i="2"/>
  <c r="H197" i="15" s="1"/>
  <c r="AH106" i="2"/>
  <c r="H198" i="15" s="1"/>
  <c r="AH107" i="2"/>
  <c r="H199" i="15" s="1"/>
  <c r="AH108" i="2"/>
  <c r="H200" i="15" s="1"/>
  <c r="AH109" i="2"/>
  <c r="H201" i="15" s="1"/>
  <c r="AH110" i="2"/>
  <c r="H202" i="15" s="1"/>
  <c r="AH111" i="2"/>
  <c r="H203" i="15" s="1"/>
  <c r="AH112" i="2"/>
  <c r="H204" i="15" s="1"/>
  <c r="AH113" i="2"/>
  <c r="H205" i="15" s="1"/>
  <c r="AH114" i="2"/>
  <c r="H206" i="15" s="1"/>
  <c r="AG98" i="2"/>
  <c r="G190" i="15" s="1"/>
  <c r="AG99" i="2"/>
  <c r="G191" i="15" s="1"/>
  <c r="AG100" i="2"/>
  <c r="G192" i="15" s="1"/>
  <c r="AG101" i="2"/>
  <c r="G193" i="15" s="1"/>
  <c r="AG102" i="2"/>
  <c r="G194" i="15" s="1"/>
  <c r="AG103" i="2"/>
  <c r="G195" i="15" s="1"/>
  <c r="AG104" i="2"/>
  <c r="G196" i="15" s="1"/>
  <c r="AG105" i="2"/>
  <c r="G197" i="15" s="1"/>
  <c r="AG106" i="2"/>
  <c r="G198" i="15" s="1"/>
  <c r="AG107" i="2"/>
  <c r="G199" i="15" s="1"/>
  <c r="AG108" i="2"/>
  <c r="G200" i="15" s="1"/>
  <c r="AG109" i="2"/>
  <c r="G201" i="15" s="1"/>
  <c r="AG110" i="2"/>
  <c r="G202" i="15" s="1"/>
  <c r="AG111" i="2"/>
  <c r="G203" i="15" s="1"/>
  <c r="AG112" i="2"/>
  <c r="G204" i="15" s="1"/>
  <c r="AG113" i="2"/>
  <c r="G205" i="15" s="1"/>
  <c r="AG114" i="2"/>
  <c r="G206" i="15" s="1"/>
  <c r="AD10" i="12"/>
  <c r="AD11" i="12"/>
  <c r="AD12" i="12"/>
  <c r="AD13" i="12"/>
  <c r="AD14" i="12"/>
  <c r="AD15" i="12"/>
  <c r="AD16" i="12"/>
  <c r="AD17" i="12"/>
  <c r="AD18" i="12"/>
  <c r="AD19" i="12"/>
  <c r="AD20" i="12"/>
  <c r="AD21" i="12"/>
  <c r="AD22" i="12"/>
  <c r="AD23" i="12"/>
  <c r="AD24" i="12"/>
  <c r="AD25" i="12"/>
  <c r="AD26" i="12"/>
  <c r="AD27" i="12"/>
  <c r="AD28" i="12"/>
  <c r="AD29" i="12"/>
  <c r="AD30" i="12"/>
  <c r="AD31" i="12"/>
  <c r="AD32" i="12"/>
  <c r="AD33" i="12"/>
  <c r="AD34" i="12"/>
  <c r="AD35" i="12"/>
  <c r="AD36" i="12"/>
  <c r="AD37" i="12"/>
  <c r="AD38" i="12"/>
  <c r="AD39" i="12"/>
  <c r="AD40" i="12"/>
  <c r="AD41" i="12"/>
  <c r="AD42" i="12"/>
  <c r="AD43" i="12"/>
  <c r="AD44" i="12"/>
  <c r="AD45" i="12"/>
  <c r="AD46" i="12"/>
  <c r="AD47" i="12"/>
  <c r="AD48" i="12"/>
  <c r="AD49" i="12"/>
  <c r="AD50" i="12"/>
  <c r="AD51" i="12"/>
  <c r="AD52" i="12"/>
  <c r="AD53" i="12"/>
  <c r="AD54" i="12"/>
  <c r="AD55" i="12"/>
  <c r="AD56" i="12"/>
  <c r="AD57" i="12"/>
  <c r="AD58" i="12"/>
  <c r="AD59" i="12"/>
  <c r="AD60" i="12"/>
  <c r="AD61" i="12"/>
  <c r="AD62" i="12"/>
  <c r="AD63" i="12"/>
  <c r="AD64" i="12"/>
  <c r="AD65" i="12"/>
  <c r="AD66" i="12"/>
  <c r="AD67" i="12"/>
  <c r="AD68" i="12"/>
  <c r="AD69" i="12"/>
  <c r="AD70" i="12"/>
  <c r="AD71" i="12"/>
  <c r="AD72" i="12"/>
  <c r="AD73" i="12"/>
  <c r="AD74" i="12"/>
  <c r="AD75" i="12"/>
  <c r="AD76" i="12"/>
  <c r="AD77" i="12"/>
  <c r="AD78" i="12"/>
  <c r="AD79" i="12"/>
  <c r="AD80" i="12"/>
  <c r="AD81" i="12"/>
  <c r="AD82" i="12"/>
  <c r="AD83" i="12"/>
  <c r="AD84" i="12"/>
  <c r="AD85" i="12"/>
  <c r="AD86" i="12"/>
  <c r="AD87" i="12"/>
  <c r="AD88" i="12"/>
  <c r="AD89" i="12"/>
  <c r="AD90" i="12"/>
  <c r="AD91" i="12"/>
  <c r="AD92" i="12"/>
  <c r="AD93" i="12"/>
  <c r="AD94" i="12"/>
  <c r="AD95" i="12"/>
  <c r="AD96" i="12"/>
  <c r="AD97" i="12"/>
  <c r="AD98" i="12"/>
  <c r="AD99" i="12"/>
  <c r="AD100" i="12"/>
  <c r="AD101" i="12"/>
  <c r="AD102" i="12"/>
  <c r="AD103" i="12"/>
  <c r="AD104" i="12"/>
  <c r="AD105" i="12"/>
  <c r="AD106" i="12"/>
  <c r="AD107" i="12"/>
  <c r="AD108" i="12"/>
  <c r="AD109" i="12"/>
  <c r="AD110" i="12"/>
  <c r="AD111" i="12"/>
  <c r="AD112" i="12"/>
  <c r="AD113" i="12"/>
  <c r="AD114" i="12"/>
  <c r="AD115" i="12"/>
  <c r="AD116" i="12"/>
  <c r="AD117" i="12"/>
  <c r="AD118" i="12"/>
  <c r="AD119" i="12"/>
  <c r="AD120" i="12"/>
  <c r="AD121" i="12"/>
  <c r="AD122" i="12"/>
  <c r="AD123" i="12"/>
  <c r="AD124" i="12"/>
  <c r="AD125" i="12"/>
  <c r="AD126" i="12"/>
  <c r="AD127" i="12"/>
  <c r="AD128" i="12"/>
  <c r="AD129" i="12"/>
  <c r="AD130" i="12"/>
  <c r="AD131" i="12"/>
  <c r="AD132" i="12"/>
  <c r="AD133" i="12"/>
  <c r="AD134" i="12"/>
  <c r="AD135" i="12"/>
  <c r="AD136" i="12"/>
  <c r="AD137" i="12"/>
  <c r="AD138" i="12"/>
  <c r="AD139" i="12"/>
  <c r="AD140" i="12"/>
  <c r="AD141" i="12"/>
  <c r="AD142" i="12"/>
  <c r="AD143" i="12"/>
  <c r="AD144" i="12"/>
  <c r="AD145" i="12"/>
  <c r="AD146" i="12"/>
  <c r="AD147" i="12"/>
  <c r="AD148" i="12"/>
  <c r="AD149" i="12"/>
  <c r="AD150" i="12"/>
  <c r="AD151" i="12"/>
  <c r="AD152" i="12"/>
  <c r="AD153" i="12"/>
  <c r="AD154" i="12"/>
  <c r="AD155" i="12"/>
  <c r="AD156" i="12"/>
  <c r="AD157" i="12"/>
  <c r="AD158" i="12"/>
  <c r="AD159" i="12"/>
  <c r="AD160" i="12"/>
  <c r="AD161" i="12"/>
  <c r="AD162" i="12"/>
  <c r="AD163" i="12"/>
  <c r="AD164" i="12"/>
  <c r="AD165" i="12"/>
  <c r="AD166" i="12"/>
  <c r="AD167" i="12"/>
  <c r="AD168" i="12"/>
  <c r="AD169" i="12"/>
  <c r="AD170" i="12"/>
  <c r="AD171" i="12"/>
  <c r="AD172" i="12"/>
  <c r="AD173" i="12"/>
  <c r="AD174" i="12"/>
  <c r="AD175" i="12"/>
  <c r="AD176" i="12"/>
  <c r="AD177" i="12"/>
  <c r="AD178" i="12"/>
  <c r="AD179" i="12"/>
  <c r="AD180" i="12"/>
  <c r="AD181" i="12"/>
  <c r="AD182" i="12"/>
  <c r="AD183" i="12"/>
  <c r="AD184" i="12"/>
  <c r="AD185" i="12"/>
  <c r="AD186" i="12"/>
  <c r="AD187" i="12"/>
  <c r="AD188" i="12"/>
  <c r="AD189" i="12"/>
  <c r="AD190" i="12"/>
  <c r="AD191" i="12"/>
  <c r="AD192" i="12"/>
  <c r="AD193" i="12"/>
  <c r="AD194" i="12"/>
  <c r="AD195" i="12"/>
  <c r="AD196" i="12"/>
  <c r="AD197" i="12"/>
  <c r="AD198" i="12"/>
  <c r="AD199" i="12"/>
  <c r="AD200" i="12"/>
  <c r="AD201" i="12"/>
  <c r="AD202" i="12"/>
  <c r="AD203" i="12"/>
  <c r="AD204" i="12"/>
  <c r="AD205" i="12"/>
  <c r="AD206" i="12"/>
  <c r="AD207" i="12"/>
  <c r="AD208" i="12"/>
  <c r="AD209" i="12"/>
  <c r="AD210" i="12"/>
  <c r="AD211" i="12"/>
  <c r="AD212" i="12"/>
  <c r="AD213" i="12"/>
  <c r="AD214" i="12"/>
  <c r="AD215" i="12"/>
  <c r="AD216" i="12"/>
  <c r="AD217" i="12"/>
  <c r="AD218" i="12"/>
  <c r="AD219" i="12"/>
  <c r="AD220" i="12"/>
  <c r="AD221" i="12"/>
  <c r="AD222" i="12"/>
  <c r="AD223" i="12"/>
  <c r="AD224" i="12"/>
  <c r="AD225" i="12"/>
  <c r="AD226" i="12"/>
  <c r="AD227" i="12"/>
  <c r="AD228" i="12"/>
  <c r="AD229" i="12"/>
  <c r="AD230" i="12"/>
  <c r="AD231" i="12"/>
  <c r="AD232" i="12"/>
  <c r="AD233" i="12"/>
  <c r="AD234" i="12"/>
  <c r="AD235" i="12"/>
  <c r="AD236" i="12"/>
  <c r="AD237" i="12"/>
  <c r="AD238" i="12"/>
  <c r="AD239" i="12"/>
  <c r="AD240" i="12"/>
  <c r="AD241" i="12"/>
  <c r="AD242" i="12"/>
  <c r="AD243" i="12"/>
  <c r="AD244" i="12"/>
  <c r="AD245" i="12"/>
  <c r="AD246" i="12"/>
  <c r="AD247" i="12"/>
  <c r="AD248" i="12"/>
  <c r="AD249" i="12"/>
  <c r="AD250" i="12"/>
  <c r="AD251" i="12"/>
  <c r="AD252" i="12"/>
  <c r="AD253" i="12"/>
  <c r="AD254" i="12"/>
  <c r="AD255" i="12"/>
  <c r="AD256" i="12"/>
  <c r="AD257" i="12"/>
  <c r="AD258" i="12"/>
  <c r="AD259" i="12"/>
  <c r="AD260" i="12"/>
  <c r="AD261" i="12"/>
  <c r="AD262" i="12"/>
  <c r="AD263" i="12"/>
  <c r="AD264" i="12"/>
  <c r="AD265" i="12"/>
  <c r="AD266" i="12"/>
  <c r="AD267" i="12"/>
  <c r="AD268" i="12"/>
  <c r="AD269" i="12"/>
  <c r="AD270" i="12"/>
  <c r="AD271" i="12"/>
  <c r="AD272" i="12"/>
  <c r="AD273" i="12"/>
  <c r="AD274" i="12"/>
  <c r="AD275" i="12"/>
  <c r="AD276" i="12"/>
  <c r="AD277" i="12"/>
  <c r="AD278" i="12"/>
  <c r="AD279" i="12"/>
  <c r="AD280" i="12"/>
  <c r="AD281" i="12"/>
  <c r="AD282" i="12"/>
  <c r="AD283" i="12"/>
  <c r="AD284" i="12"/>
  <c r="AD285" i="12"/>
  <c r="AD286" i="12"/>
  <c r="AD287" i="12"/>
  <c r="AD288" i="12"/>
  <c r="AD289" i="12"/>
  <c r="AD290" i="12"/>
  <c r="AD291" i="12"/>
  <c r="AD292" i="12"/>
  <c r="AD293" i="12"/>
  <c r="AD294" i="12"/>
  <c r="AD295" i="12"/>
  <c r="AD296" i="12"/>
  <c r="AD297" i="12"/>
  <c r="AD298" i="12"/>
  <c r="AD299" i="12"/>
  <c r="AD300" i="12"/>
  <c r="AD301" i="12"/>
  <c r="AD302" i="12"/>
  <c r="AD303" i="12"/>
  <c r="AD304" i="12"/>
  <c r="AD305" i="12"/>
  <c r="AD306" i="12"/>
  <c r="AD307" i="12"/>
  <c r="AD308" i="12"/>
  <c r="AD309" i="12"/>
  <c r="AD310" i="12"/>
  <c r="AD311" i="12"/>
  <c r="AD312" i="12"/>
  <c r="AD313" i="12"/>
  <c r="AD314" i="12"/>
  <c r="AD315" i="12"/>
  <c r="AD316" i="12"/>
  <c r="AD317" i="12"/>
  <c r="AD318" i="12"/>
  <c r="AD319" i="12"/>
  <c r="AD320" i="12"/>
  <c r="AD321" i="12"/>
  <c r="AD322" i="12"/>
  <c r="AD323" i="12"/>
  <c r="AD324" i="12"/>
  <c r="AD325" i="12"/>
  <c r="AD326" i="12"/>
  <c r="AD327" i="12"/>
  <c r="AD328" i="12"/>
  <c r="AD329" i="12"/>
  <c r="AD330" i="12"/>
  <c r="AD331" i="12"/>
  <c r="AD332" i="12"/>
  <c r="AD333" i="12"/>
  <c r="AD334" i="12"/>
  <c r="AD335" i="12"/>
  <c r="AD336" i="12"/>
  <c r="AD337" i="12"/>
  <c r="AD338" i="12"/>
  <c r="AD339" i="12"/>
  <c r="AD340" i="12"/>
  <c r="AD341" i="12"/>
  <c r="AD342" i="12"/>
  <c r="AD343" i="12"/>
  <c r="AD344" i="12"/>
  <c r="AD345" i="12"/>
  <c r="AD346" i="12"/>
  <c r="AD347" i="12"/>
  <c r="AD348" i="12"/>
  <c r="AD349" i="12"/>
  <c r="AD350" i="12"/>
  <c r="AD351" i="12"/>
  <c r="AD352" i="12"/>
  <c r="AD353" i="12"/>
  <c r="AD354" i="12"/>
  <c r="AD355" i="12"/>
  <c r="AD356" i="12"/>
  <c r="AD357" i="12"/>
  <c r="AD358" i="12"/>
  <c r="AD359" i="12"/>
  <c r="AD360" i="12"/>
  <c r="AD361" i="12"/>
  <c r="AD362" i="12"/>
  <c r="AD363" i="12"/>
  <c r="AD364" i="12"/>
  <c r="AD365" i="12"/>
  <c r="AD366" i="12"/>
  <c r="AD367" i="12"/>
  <c r="AD368" i="12"/>
  <c r="AD369" i="12"/>
  <c r="AD370" i="12"/>
  <c r="AD371" i="12"/>
  <c r="AD372" i="12"/>
  <c r="AD373" i="12"/>
  <c r="AD374" i="12"/>
  <c r="AD375" i="12"/>
  <c r="AD376" i="12"/>
  <c r="AD377" i="12"/>
  <c r="AD378" i="12"/>
  <c r="AD379" i="12"/>
  <c r="AD380" i="12"/>
  <c r="AD381" i="12"/>
  <c r="AD382" i="12"/>
  <c r="AD383" i="12"/>
  <c r="AD384" i="12"/>
  <c r="AD385" i="12"/>
  <c r="AD386" i="12"/>
  <c r="AD387" i="12"/>
  <c r="AD388" i="12"/>
  <c r="AD389" i="12"/>
  <c r="AD390" i="12"/>
  <c r="AD391" i="12"/>
  <c r="AD392" i="12"/>
  <c r="AD393" i="12"/>
  <c r="AD394" i="12"/>
  <c r="AD395" i="12"/>
  <c r="AD396" i="12"/>
  <c r="AD397" i="12"/>
  <c r="AD398" i="12"/>
  <c r="AD399" i="12"/>
  <c r="AD400" i="12"/>
  <c r="AD401" i="12"/>
  <c r="AD402" i="12"/>
  <c r="AD403" i="12"/>
  <c r="AD404" i="12"/>
  <c r="AD405" i="12"/>
  <c r="AD406" i="12"/>
  <c r="AD407" i="12"/>
  <c r="AD408" i="12"/>
  <c r="AD409" i="12"/>
  <c r="AD410" i="12"/>
  <c r="AD411" i="12"/>
  <c r="AD412" i="12"/>
  <c r="AD413" i="12"/>
  <c r="AD414" i="12"/>
  <c r="AD415" i="12"/>
  <c r="AD416" i="12"/>
  <c r="AD417" i="12"/>
  <c r="AD418" i="12"/>
  <c r="AD419" i="12"/>
  <c r="AD420" i="12"/>
  <c r="AD421" i="12"/>
  <c r="AD422" i="12"/>
  <c r="AD423" i="12"/>
  <c r="AD424" i="12"/>
  <c r="AD425" i="12"/>
  <c r="AD426" i="12"/>
  <c r="AD427" i="12"/>
  <c r="AD428" i="12"/>
  <c r="AD429" i="12"/>
  <c r="AD430" i="12"/>
  <c r="AD431" i="12"/>
  <c r="AD432" i="12"/>
  <c r="AD433" i="12"/>
  <c r="AD434" i="12"/>
  <c r="AD435" i="12"/>
  <c r="AD436" i="12"/>
  <c r="AD437" i="12"/>
  <c r="AD438" i="12"/>
  <c r="AD439" i="12"/>
  <c r="AD440" i="12"/>
  <c r="AD441" i="12"/>
  <c r="AD442" i="12"/>
  <c r="AD443" i="12"/>
  <c r="AD444" i="12"/>
  <c r="AD445" i="12"/>
  <c r="AD446" i="12"/>
  <c r="AD447" i="12"/>
  <c r="AD448" i="12"/>
  <c r="AD449" i="12"/>
  <c r="AD450" i="12"/>
  <c r="AD451" i="12"/>
  <c r="AD452" i="12"/>
  <c r="AD453" i="12"/>
  <c r="AD454" i="12"/>
  <c r="AD455" i="12"/>
  <c r="AD456" i="12"/>
  <c r="AD457" i="12"/>
  <c r="AD458" i="12"/>
  <c r="AD459" i="12"/>
  <c r="AD460" i="12"/>
  <c r="AD461" i="12"/>
  <c r="AD462" i="12"/>
  <c r="AD463" i="12"/>
  <c r="AD464" i="12"/>
  <c r="AD465" i="12"/>
  <c r="AD466" i="12"/>
  <c r="AD467" i="12"/>
  <c r="AD468" i="12"/>
  <c r="AD469" i="12"/>
  <c r="AD470" i="12"/>
  <c r="AD471" i="12"/>
  <c r="AD472" i="12"/>
  <c r="AD473" i="12"/>
  <c r="AD474" i="12"/>
  <c r="AD475" i="12"/>
  <c r="AD476" i="12"/>
  <c r="AD477" i="12"/>
  <c r="AD478" i="12"/>
  <c r="AD479" i="12"/>
  <c r="AD480" i="12"/>
  <c r="AD481" i="12"/>
  <c r="AD482" i="12"/>
  <c r="AD483" i="12"/>
  <c r="AD484" i="12"/>
  <c r="AD485" i="12"/>
  <c r="AD486" i="12"/>
  <c r="AD487" i="12"/>
  <c r="AD488" i="12"/>
  <c r="AD489" i="12"/>
  <c r="AD490" i="12"/>
  <c r="AD491" i="12"/>
  <c r="AD492" i="12"/>
  <c r="AD493" i="12"/>
  <c r="AD494" i="12"/>
  <c r="AD495" i="12"/>
  <c r="AD496" i="12"/>
  <c r="AD497" i="12"/>
  <c r="AD498" i="12"/>
  <c r="AD499" i="12"/>
  <c r="AD500" i="12"/>
  <c r="AD501" i="12"/>
  <c r="AD502" i="12"/>
  <c r="AD503" i="12"/>
  <c r="AD504" i="12"/>
  <c r="AD505" i="12"/>
  <c r="AD506" i="12"/>
  <c r="AD507" i="12"/>
  <c r="AD508" i="12"/>
  <c r="AD509" i="12"/>
  <c r="AD510" i="12"/>
  <c r="AC9" i="12"/>
  <c r="AC10" i="12"/>
  <c r="AC11" i="12"/>
  <c r="AC12" i="12"/>
  <c r="AC13" i="12"/>
  <c r="AC14" i="12"/>
  <c r="AC15" i="12"/>
  <c r="AC16" i="12"/>
  <c r="AC17" i="12"/>
  <c r="AC18" i="12"/>
  <c r="AC19" i="12"/>
  <c r="AC20" i="12"/>
  <c r="AC21" i="12"/>
  <c r="AC22" i="12"/>
  <c r="AC23" i="12"/>
  <c r="AC24" i="12"/>
  <c r="AC25" i="12"/>
  <c r="AC26" i="12"/>
  <c r="AC27" i="12"/>
  <c r="AC28" i="12"/>
  <c r="AC29" i="12"/>
  <c r="AC30" i="12"/>
  <c r="AC31" i="12"/>
  <c r="AC32" i="12"/>
  <c r="AC33" i="12"/>
  <c r="AC34" i="12"/>
  <c r="AC35" i="12"/>
  <c r="AC36" i="12"/>
  <c r="AC37" i="12"/>
  <c r="AC38" i="12"/>
  <c r="AC39" i="12"/>
  <c r="AC40" i="12"/>
  <c r="AC41" i="12"/>
  <c r="AC42" i="12"/>
  <c r="AC43" i="12"/>
  <c r="AC44" i="12"/>
  <c r="AC45" i="12"/>
  <c r="AC46" i="12"/>
  <c r="AC47" i="12"/>
  <c r="AC48" i="12"/>
  <c r="AC49" i="12"/>
  <c r="AC50" i="12"/>
  <c r="AC51" i="12"/>
  <c r="AC52" i="12"/>
  <c r="AC53" i="12"/>
  <c r="AC54" i="12"/>
  <c r="AC55" i="12"/>
  <c r="AC56" i="12"/>
  <c r="AC57" i="12"/>
  <c r="AC58" i="12"/>
  <c r="AC59" i="12"/>
  <c r="AC60" i="12"/>
  <c r="AC61" i="12"/>
  <c r="AC62" i="12"/>
  <c r="AC63" i="12"/>
  <c r="AC64" i="12"/>
  <c r="AC65" i="12"/>
  <c r="AC66" i="12"/>
  <c r="AC67" i="12"/>
  <c r="AC68" i="12"/>
  <c r="AC69" i="12"/>
  <c r="AC70" i="12"/>
  <c r="AC71" i="12"/>
  <c r="AC72" i="12"/>
  <c r="AC73" i="12"/>
  <c r="AC74" i="12"/>
  <c r="AC75" i="12"/>
  <c r="AC76" i="12"/>
  <c r="AC77" i="12"/>
  <c r="AC78" i="12"/>
  <c r="AC79" i="12"/>
  <c r="AC80" i="12"/>
  <c r="AC81" i="12"/>
  <c r="AC82" i="12"/>
  <c r="AC83" i="12"/>
  <c r="AC84" i="12"/>
  <c r="AC85" i="12"/>
  <c r="AC86" i="12"/>
  <c r="AC87" i="12"/>
  <c r="AC88" i="12"/>
  <c r="AC89" i="12"/>
  <c r="AC90" i="12"/>
  <c r="AC91" i="12"/>
  <c r="AC92" i="12"/>
  <c r="AC93" i="12"/>
  <c r="AC94" i="12"/>
  <c r="AC95" i="12"/>
  <c r="AC96" i="12"/>
  <c r="AC97" i="12"/>
  <c r="AC98" i="12"/>
  <c r="AC99" i="12"/>
  <c r="AC100" i="12"/>
  <c r="AC101" i="12"/>
  <c r="AC102" i="12"/>
  <c r="AC103" i="12"/>
  <c r="AC104" i="12"/>
  <c r="AC105" i="12"/>
  <c r="AC106" i="12"/>
  <c r="AC107" i="12"/>
  <c r="AC108" i="12"/>
  <c r="AC109" i="12"/>
  <c r="AC110" i="12"/>
  <c r="AC111" i="12"/>
  <c r="AC112" i="12"/>
  <c r="AC113" i="12"/>
  <c r="AC114" i="12"/>
  <c r="AC115" i="12"/>
  <c r="AC116" i="12"/>
  <c r="AC117" i="12"/>
  <c r="AC118" i="12"/>
  <c r="AC119" i="12"/>
  <c r="AC120" i="12"/>
  <c r="AC121" i="12"/>
  <c r="AC122" i="12"/>
  <c r="AC123" i="12"/>
  <c r="AC124" i="12"/>
  <c r="AC125" i="12"/>
  <c r="AC126" i="12"/>
  <c r="AC127" i="12"/>
  <c r="AC128" i="12"/>
  <c r="AC129" i="12"/>
  <c r="AC130" i="12"/>
  <c r="AC131" i="12"/>
  <c r="AC132" i="12"/>
  <c r="AC133" i="12"/>
  <c r="AC134" i="12"/>
  <c r="AC135" i="12"/>
  <c r="AC136" i="12"/>
  <c r="AC137" i="12"/>
  <c r="AC138" i="12"/>
  <c r="AC139" i="12"/>
  <c r="AC140" i="12"/>
  <c r="AC141" i="12"/>
  <c r="AC142" i="12"/>
  <c r="AC143" i="12"/>
  <c r="AC144" i="12"/>
  <c r="AC145" i="12"/>
  <c r="AC146" i="12"/>
  <c r="AC147" i="12"/>
  <c r="AC148" i="12"/>
  <c r="AC149" i="12"/>
  <c r="AC150" i="12"/>
  <c r="AC151" i="12"/>
  <c r="AC152" i="12"/>
  <c r="AC153" i="12"/>
  <c r="AC154" i="12"/>
  <c r="AC155" i="12"/>
  <c r="AC156" i="12"/>
  <c r="AC157" i="12"/>
  <c r="AC158" i="12"/>
  <c r="AC159" i="12"/>
  <c r="AC160" i="12"/>
  <c r="AC161" i="12"/>
  <c r="AC162" i="12"/>
  <c r="AC163" i="12"/>
  <c r="AC164" i="12"/>
  <c r="AC165" i="12"/>
  <c r="AC166" i="12"/>
  <c r="AC167" i="12"/>
  <c r="AC168" i="12"/>
  <c r="AC169" i="12"/>
  <c r="AC170" i="12"/>
  <c r="AC171" i="12"/>
  <c r="AC172" i="12"/>
  <c r="AC173" i="12"/>
  <c r="AC174" i="12"/>
  <c r="AC175" i="12"/>
  <c r="AC176" i="12"/>
  <c r="AC177" i="12"/>
  <c r="AC178" i="12"/>
  <c r="AC179" i="12"/>
  <c r="AC180" i="12"/>
  <c r="AC181" i="12"/>
  <c r="AC182" i="12"/>
  <c r="AC183" i="12"/>
  <c r="AC184" i="12"/>
  <c r="AC185" i="12"/>
  <c r="AC186" i="12"/>
  <c r="AC187" i="12"/>
  <c r="AC188" i="12"/>
  <c r="AC189" i="12"/>
  <c r="AC190" i="12"/>
  <c r="AC191" i="12"/>
  <c r="AC192" i="12"/>
  <c r="AC193" i="12"/>
  <c r="AC194" i="12"/>
  <c r="AC195" i="12"/>
  <c r="AC196" i="12"/>
  <c r="AC197" i="12"/>
  <c r="AC198" i="12"/>
  <c r="AC199" i="12"/>
  <c r="AC200" i="12"/>
  <c r="AC201" i="12"/>
  <c r="AC202" i="12"/>
  <c r="AC203" i="12"/>
  <c r="AC204" i="12"/>
  <c r="AC205" i="12"/>
  <c r="AC206" i="12"/>
  <c r="AC207" i="12"/>
  <c r="AC208" i="12"/>
  <c r="AC209" i="12"/>
  <c r="AC210" i="12"/>
  <c r="AC211" i="12"/>
  <c r="AC212" i="12"/>
  <c r="AC213" i="12"/>
  <c r="AC214" i="12"/>
  <c r="AC215" i="12"/>
  <c r="AC216" i="12"/>
  <c r="AC217" i="12"/>
  <c r="AC218" i="12"/>
  <c r="AC219" i="12"/>
  <c r="AC220" i="12"/>
  <c r="AC221" i="12"/>
  <c r="AC222" i="12"/>
  <c r="AC223" i="12"/>
  <c r="AC224" i="12"/>
  <c r="AC225" i="12"/>
  <c r="AC226" i="12"/>
  <c r="AC227" i="12"/>
  <c r="AC228" i="12"/>
  <c r="AC229" i="12"/>
  <c r="AC230" i="12"/>
  <c r="AC231" i="12"/>
  <c r="AC232" i="12"/>
  <c r="AC233" i="12"/>
  <c r="AC234" i="12"/>
  <c r="AC235" i="12"/>
  <c r="AC236" i="12"/>
  <c r="AC237" i="12"/>
  <c r="AC238" i="12"/>
  <c r="AC239" i="12"/>
  <c r="AC240" i="12"/>
  <c r="AC241" i="12"/>
  <c r="AC242" i="12"/>
  <c r="AC243" i="12"/>
  <c r="AC244" i="12"/>
  <c r="AC245" i="12"/>
  <c r="AC246" i="12"/>
  <c r="AC247" i="12"/>
  <c r="AC248" i="12"/>
  <c r="AC249" i="12"/>
  <c r="AC250" i="12"/>
  <c r="AC251" i="12"/>
  <c r="AC252" i="12"/>
  <c r="AC253" i="12"/>
  <c r="AC254" i="12"/>
  <c r="AC255" i="12"/>
  <c r="AC256" i="12"/>
  <c r="AC257" i="12"/>
  <c r="AC258" i="12"/>
  <c r="AC259" i="12"/>
  <c r="AC260" i="12"/>
  <c r="AC261" i="12"/>
  <c r="AC262" i="12"/>
  <c r="AC263" i="12"/>
  <c r="AC264" i="12"/>
  <c r="AC265" i="12"/>
  <c r="AC266" i="12"/>
  <c r="AC267" i="12"/>
  <c r="AC268" i="12"/>
  <c r="AC269" i="12"/>
  <c r="AC270" i="12"/>
  <c r="AC271" i="12"/>
  <c r="AC272" i="12"/>
  <c r="AC273" i="12"/>
  <c r="AC274" i="12"/>
  <c r="AC275" i="12"/>
  <c r="AC276" i="12"/>
  <c r="AC277" i="12"/>
  <c r="AC278" i="12"/>
  <c r="AC279" i="12"/>
  <c r="AC280" i="12"/>
  <c r="AC281" i="12"/>
  <c r="AC282" i="12"/>
  <c r="AC283" i="12"/>
  <c r="AC284" i="12"/>
  <c r="AC285" i="12"/>
  <c r="AC286" i="12"/>
  <c r="AC287" i="12"/>
  <c r="AC288" i="12"/>
  <c r="AC289" i="12"/>
  <c r="AC290" i="12"/>
  <c r="AC291" i="12"/>
  <c r="AC292" i="12"/>
  <c r="AC293" i="12"/>
  <c r="AC294" i="12"/>
  <c r="AC295" i="12"/>
  <c r="AC296" i="12"/>
  <c r="AC297" i="12"/>
  <c r="AC298" i="12"/>
  <c r="AC299" i="12"/>
  <c r="AC300" i="12"/>
  <c r="AC301" i="12"/>
  <c r="AC302" i="12"/>
  <c r="AC303" i="12"/>
  <c r="AC304" i="12"/>
  <c r="AC305" i="12"/>
  <c r="AC306" i="12"/>
  <c r="AC307" i="12"/>
  <c r="AC308" i="12"/>
  <c r="AC309" i="12"/>
  <c r="AC310" i="12"/>
  <c r="AC311" i="12"/>
  <c r="AC312" i="12"/>
  <c r="AC313" i="12"/>
  <c r="AC314" i="12"/>
  <c r="AC315" i="12"/>
  <c r="AC316" i="12"/>
  <c r="AC317" i="12"/>
  <c r="AC318" i="12"/>
  <c r="AC319" i="12"/>
  <c r="AC320" i="12"/>
  <c r="AC321" i="12"/>
  <c r="AC322" i="12"/>
  <c r="AC323" i="12"/>
  <c r="AC324" i="12"/>
  <c r="AC325" i="12"/>
  <c r="AC326" i="12"/>
  <c r="AC327" i="12"/>
  <c r="AC328" i="12"/>
  <c r="AC329" i="12"/>
  <c r="AC330" i="12"/>
  <c r="AC331" i="12"/>
  <c r="AC332" i="12"/>
  <c r="AC333" i="12"/>
  <c r="AC334" i="12"/>
  <c r="AC335" i="12"/>
  <c r="AC336" i="12"/>
  <c r="AC337" i="12"/>
  <c r="AC338" i="12"/>
  <c r="AC339" i="12"/>
  <c r="AC340" i="12"/>
  <c r="AC341" i="12"/>
  <c r="AC342" i="12"/>
  <c r="AC343" i="12"/>
  <c r="AC344" i="12"/>
  <c r="AC345" i="12"/>
  <c r="AC346" i="12"/>
  <c r="AC347" i="12"/>
  <c r="AC348" i="12"/>
  <c r="AC349" i="12"/>
  <c r="AC350" i="12"/>
  <c r="AC351" i="12"/>
  <c r="AC352" i="12"/>
  <c r="AC353" i="12"/>
  <c r="AC354" i="12"/>
  <c r="AC355" i="12"/>
  <c r="AC356" i="12"/>
  <c r="AC357" i="12"/>
  <c r="AC358" i="12"/>
  <c r="AC359" i="12"/>
  <c r="AC360" i="12"/>
  <c r="AC361" i="12"/>
  <c r="AC362" i="12"/>
  <c r="AC363" i="12"/>
  <c r="AC364" i="12"/>
  <c r="AC365" i="12"/>
  <c r="AC366" i="12"/>
  <c r="AC367" i="12"/>
  <c r="AC368" i="12"/>
  <c r="AC369" i="12"/>
  <c r="AC370" i="12"/>
  <c r="AC371" i="12"/>
  <c r="AC372" i="12"/>
  <c r="AC373" i="12"/>
  <c r="AC374" i="12"/>
  <c r="AC375" i="12"/>
  <c r="AC376" i="12"/>
  <c r="AC377" i="12"/>
  <c r="AC378" i="12"/>
  <c r="AC379" i="12"/>
  <c r="AC380" i="12"/>
  <c r="AC381" i="12"/>
  <c r="AC382" i="12"/>
  <c r="AC383" i="12"/>
  <c r="AC384" i="12"/>
  <c r="AC385" i="12"/>
  <c r="AC386" i="12"/>
  <c r="AC387" i="12"/>
  <c r="AC388" i="12"/>
  <c r="AC389" i="12"/>
  <c r="AC390" i="12"/>
  <c r="AC391" i="12"/>
  <c r="AC392" i="12"/>
  <c r="AC393" i="12"/>
  <c r="AC394" i="12"/>
  <c r="AC395" i="12"/>
  <c r="AC396" i="12"/>
  <c r="AC397" i="12"/>
  <c r="AC398" i="12"/>
  <c r="AC399" i="12"/>
  <c r="AC400" i="12"/>
  <c r="AC401" i="12"/>
  <c r="AC402" i="12"/>
  <c r="AC403" i="12"/>
  <c r="AC404" i="12"/>
  <c r="AC405" i="12"/>
  <c r="AC406" i="12"/>
  <c r="AC407" i="12"/>
  <c r="AC408" i="12"/>
  <c r="AC409" i="12"/>
  <c r="AC410" i="12"/>
  <c r="AC411" i="12"/>
  <c r="AC412" i="12"/>
  <c r="AC413" i="12"/>
  <c r="AC414" i="12"/>
  <c r="AC415" i="12"/>
  <c r="AC416" i="12"/>
  <c r="AC417" i="12"/>
  <c r="AC418" i="12"/>
  <c r="AC419" i="12"/>
  <c r="AC420" i="12"/>
  <c r="AC421" i="12"/>
  <c r="AC422" i="12"/>
  <c r="AC423" i="12"/>
  <c r="AC424" i="12"/>
  <c r="AC425" i="12"/>
  <c r="AC426" i="12"/>
  <c r="AC427" i="12"/>
  <c r="AC428" i="12"/>
  <c r="AC429" i="12"/>
  <c r="AC430" i="12"/>
  <c r="AC431" i="12"/>
  <c r="AC432" i="12"/>
  <c r="AC433" i="12"/>
  <c r="AC434" i="12"/>
  <c r="AC435" i="12"/>
  <c r="AC436" i="12"/>
  <c r="AC437" i="12"/>
  <c r="AC438" i="12"/>
  <c r="AC439" i="12"/>
  <c r="AC440" i="12"/>
  <c r="AC441" i="12"/>
  <c r="AC442" i="12"/>
  <c r="AC443" i="12"/>
  <c r="AC444" i="12"/>
  <c r="AC445" i="12"/>
  <c r="AC446" i="12"/>
  <c r="AC447" i="12"/>
  <c r="AC448" i="12"/>
  <c r="AC449" i="12"/>
  <c r="AC450" i="12"/>
  <c r="AC451" i="12"/>
  <c r="AC452" i="12"/>
  <c r="AC453" i="12"/>
  <c r="AC454" i="12"/>
  <c r="AC455" i="12"/>
  <c r="AC456" i="12"/>
  <c r="AC457" i="12"/>
  <c r="AC458" i="12"/>
  <c r="AC459" i="12"/>
  <c r="AC460" i="12"/>
  <c r="AC461" i="12"/>
  <c r="AC462" i="12"/>
  <c r="AC463" i="12"/>
  <c r="AC464" i="12"/>
  <c r="AC465" i="12"/>
  <c r="AC466" i="12"/>
  <c r="AC467" i="12"/>
  <c r="AC468" i="12"/>
  <c r="AC469" i="12"/>
  <c r="AC470" i="12"/>
  <c r="AC471" i="12"/>
  <c r="AC472" i="12"/>
  <c r="AC473" i="12"/>
  <c r="AC474" i="12"/>
  <c r="AC475" i="12"/>
  <c r="AC476" i="12"/>
  <c r="AC477" i="12"/>
  <c r="AC478" i="12"/>
  <c r="AC479" i="12"/>
  <c r="AC480" i="12"/>
  <c r="AC481" i="12"/>
  <c r="AC482" i="12"/>
  <c r="AC483" i="12"/>
  <c r="AC484" i="12"/>
  <c r="AC485" i="12"/>
  <c r="AC486" i="12"/>
  <c r="AC487" i="12"/>
  <c r="AC488" i="12"/>
  <c r="AC489" i="12"/>
  <c r="AC490" i="12"/>
  <c r="AC491" i="12"/>
  <c r="AC492" i="12"/>
  <c r="AC493" i="12"/>
  <c r="AC494" i="12"/>
  <c r="AC495" i="12"/>
  <c r="AC496" i="12"/>
  <c r="AC497" i="12"/>
  <c r="AC498" i="12"/>
  <c r="AC499" i="12"/>
  <c r="AC500" i="12"/>
  <c r="AC501" i="12"/>
  <c r="AC502" i="12"/>
  <c r="AC503" i="12"/>
  <c r="AC504" i="12"/>
  <c r="AC505" i="12"/>
  <c r="AC506" i="12"/>
  <c r="AC507" i="12"/>
  <c r="AC508" i="12"/>
  <c r="AC509" i="12"/>
  <c r="AC510" i="12"/>
  <c r="AF97" i="2"/>
  <c r="F189" i="15" s="1"/>
  <c r="AF98" i="2"/>
  <c r="F190" i="15" s="1"/>
  <c r="AF99" i="2"/>
  <c r="F191" i="15" s="1"/>
  <c r="AF100" i="2"/>
  <c r="F192" i="15" s="1"/>
  <c r="AF101" i="2"/>
  <c r="F193" i="15" s="1"/>
  <c r="AF102" i="2"/>
  <c r="F194" i="15" s="1"/>
  <c r="AF103" i="2"/>
  <c r="F195" i="15" s="1"/>
  <c r="AF104" i="2"/>
  <c r="F196" i="15" s="1"/>
  <c r="AF105" i="2"/>
  <c r="F197" i="15" s="1"/>
  <c r="AF106" i="2"/>
  <c r="F198" i="15" s="1"/>
  <c r="AF107" i="2"/>
  <c r="F199" i="15" s="1"/>
  <c r="AF108" i="2"/>
  <c r="F200" i="15" s="1"/>
  <c r="AF109" i="2"/>
  <c r="F201" i="15" s="1"/>
  <c r="AF110" i="2"/>
  <c r="F202" i="15" s="1"/>
  <c r="AF111" i="2"/>
  <c r="F203" i="15" s="1"/>
  <c r="AF112" i="2"/>
  <c r="F204" i="15" s="1"/>
  <c r="AF113" i="2"/>
  <c r="F205" i="15" s="1"/>
  <c r="AF114" i="2"/>
  <c r="F206" i="15" s="1"/>
  <c r="AE97" i="2"/>
  <c r="E189" i="15" s="1"/>
  <c r="AE98" i="2"/>
  <c r="E190" i="15" s="1"/>
  <c r="AE99" i="2"/>
  <c r="E191" i="15" s="1"/>
  <c r="AE100" i="2"/>
  <c r="E192" i="15" s="1"/>
  <c r="AE101" i="2"/>
  <c r="E193" i="15" s="1"/>
  <c r="AE102" i="2"/>
  <c r="E194" i="15" s="1"/>
  <c r="AE103" i="2"/>
  <c r="E195" i="15" s="1"/>
  <c r="AE104" i="2"/>
  <c r="E196" i="15" s="1"/>
  <c r="AE105" i="2"/>
  <c r="E197" i="15" s="1"/>
  <c r="AE106" i="2"/>
  <c r="E198" i="15" s="1"/>
  <c r="AE107" i="2"/>
  <c r="E199" i="15" s="1"/>
  <c r="AE108" i="2"/>
  <c r="E200" i="15" s="1"/>
  <c r="AE109" i="2"/>
  <c r="E201" i="15" s="1"/>
  <c r="AE110" i="2"/>
  <c r="E202" i="15" s="1"/>
  <c r="AE111" i="2"/>
  <c r="E203" i="15" s="1"/>
  <c r="AE112" i="2"/>
  <c r="E204" i="15" s="1"/>
  <c r="AE113" i="2"/>
  <c r="E205" i="15" s="1"/>
  <c r="AE114" i="2"/>
  <c r="E206" i="15" s="1"/>
  <c r="AE10" i="8"/>
  <c r="AE11" i="8"/>
  <c r="AE12" i="8"/>
  <c r="AE13" i="8"/>
  <c r="AE14" i="8"/>
  <c r="AE15" i="8"/>
  <c r="AE16" i="8"/>
  <c r="AE17" i="8"/>
  <c r="AE18" i="8"/>
  <c r="AE19" i="8"/>
  <c r="AE20" i="8"/>
  <c r="AE21" i="8"/>
  <c r="AE22" i="8"/>
  <c r="AE23" i="8"/>
  <c r="AE24" i="8"/>
  <c r="AE25" i="8"/>
  <c r="AE26" i="8"/>
  <c r="AE27" i="8"/>
  <c r="AE28" i="8"/>
  <c r="AE29" i="8"/>
  <c r="AE30" i="8"/>
  <c r="AE31" i="8"/>
  <c r="AE32" i="8"/>
  <c r="AE33" i="8"/>
  <c r="AE34" i="8"/>
  <c r="AE35" i="8"/>
  <c r="AE36" i="8"/>
  <c r="AE37" i="8"/>
  <c r="AE38" i="8"/>
  <c r="AE39" i="8"/>
  <c r="AE40" i="8"/>
  <c r="AE41" i="8"/>
  <c r="AE42" i="8"/>
  <c r="AE43" i="8"/>
  <c r="AE44" i="8"/>
  <c r="AE45" i="8"/>
  <c r="AE46" i="8"/>
  <c r="AE47" i="8"/>
  <c r="AE48" i="8"/>
  <c r="AE49" i="8"/>
  <c r="AE50" i="8"/>
  <c r="AE51" i="8"/>
  <c r="AE52" i="8"/>
  <c r="AE53" i="8"/>
  <c r="AE54" i="8"/>
  <c r="AE55" i="8"/>
  <c r="AE56" i="8"/>
  <c r="AE57" i="8"/>
  <c r="AE58" i="8"/>
  <c r="AE59" i="8"/>
  <c r="AE60" i="8"/>
  <c r="AE61" i="8"/>
  <c r="AE62" i="8"/>
  <c r="AE63" i="8"/>
  <c r="AE64" i="8"/>
  <c r="AE65" i="8"/>
  <c r="AE66" i="8"/>
  <c r="AE67" i="8"/>
  <c r="AE68" i="8"/>
  <c r="AE69" i="8"/>
  <c r="AE70" i="8"/>
  <c r="AE71" i="8"/>
  <c r="AE72" i="8"/>
  <c r="AE73" i="8"/>
  <c r="AE74" i="8"/>
  <c r="AE75" i="8"/>
  <c r="AE76" i="8"/>
  <c r="AE77" i="8"/>
  <c r="AE78" i="8"/>
  <c r="AE79" i="8"/>
  <c r="AE80" i="8"/>
  <c r="AE81" i="8"/>
  <c r="AE82" i="8"/>
  <c r="AE83" i="8"/>
  <c r="AE84" i="8"/>
  <c r="AE85" i="8"/>
  <c r="AE86" i="8"/>
  <c r="AE87" i="8"/>
  <c r="AE88" i="8"/>
  <c r="AE89" i="8"/>
  <c r="AE90" i="8"/>
  <c r="AE91" i="8"/>
  <c r="AE92" i="8"/>
  <c r="AE93" i="8"/>
  <c r="AE94" i="8"/>
  <c r="AE95" i="8"/>
  <c r="AE96" i="8"/>
  <c r="AE97" i="8"/>
  <c r="AE98" i="8"/>
  <c r="AE99" i="8"/>
  <c r="AE100" i="8"/>
  <c r="AE101" i="8"/>
  <c r="AE102" i="8"/>
  <c r="AE103" i="8"/>
  <c r="AE104" i="8"/>
  <c r="AE105" i="8"/>
  <c r="AE106" i="8"/>
  <c r="AE107" i="8"/>
  <c r="AE108" i="8"/>
  <c r="AE109" i="8"/>
  <c r="AE110" i="8"/>
  <c r="AE111" i="8"/>
  <c r="AE112" i="8"/>
  <c r="AE113" i="8"/>
  <c r="AE114" i="8"/>
  <c r="AE115" i="8"/>
  <c r="AE116" i="8"/>
  <c r="AE117" i="8"/>
  <c r="AE118" i="8"/>
  <c r="AE119" i="8"/>
  <c r="AE120" i="8"/>
  <c r="AE121" i="8"/>
  <c r="AE122" i="8"/>
  <c r="AE123" i="8"/>
  <c r="AE124" i="8"/>
  <c r="AE125" i="8"/>
  <c r="AE126" i="8"/>
  <c r="AE127" i="8"/>
  <c r="AE128" i="8"/>
  <c r="AE129" i="8"/>
  <c r="AE130" i="8"/>
  <c r="AE131" i="8"/>
  <c r="AE132" i="8"/>
  <c r="AE133" i="8"/>
  <c r="AE134" i="8"/>
  <c r="AE135" i="8"/>
  <c r="AE136" i="8"/>
  <c r="AE137" i="8"/>
  <c r="AE138" i="8"/>
  <c r="AE139" i="8"/>
  <c r="AE140" i="8"/>
  <c r="AE141" i="8"/>
  <c r="AE142" i="8"/>
  <c r="AE143" i="8"/>
  <c r="AE144" i="8"/>
  <c r="AE145" i="8"/>
  <c r="AE146" i="8"/>
  <c r="AE147" i="8"/>
  <c r="AE148" i="8"/>
  <c r="AE149" i="8"/>
  <c r="AE150" i="8"/>
  <c r="AE151" i="8"/>
  <c r="AE152" i="8"/>
  <c r="AE153" i="8"/>
  <c r="AE154" i="8"/>
  <c r="AE155" i="8"/>
  <c r="AE156" i="8"/>
  <c r="AE157" i="8"/>
  <c r="AE158" i="8"/>
  <c r="AE159" i="8"/>
  <c r="AE160" i="8"/>
  <c r="AE161" i="8"/>
  <c r="AE162" i="8"/>
  <c r="AE163" i="8"/>
  <c r="AE164" i="8"/>
  <c r="AE165" i="8"/>
  <c r="AE166" i="8"/>
  <c r="AE167" i="8"/>
  <c r="AE168" i="8"/>
  <c r="AE169" i="8"/>
  <c r="AE170" i="8"/>
  <c r="AE171" i="8"/>
  <c r="AE172" i="8"/>
  <c r="AE173" i="8"/>
  <c r="AE174" i="8"/>
  <c r="AE175" i="8"/>
  <c r="AE176" i="8"/>
  <c r="AE177" i="8"/>
  <c r="AE178" i="8"/>
  <c r="AE179" i="8"/>
  <c r="AE180" i="8"/>
  <c r="AE181" i="8"/>
  <c r="AE182" i="8"/>
  <c r="AE183" i="8"/>
  <c r="AE184" i="8"/>
  <c r="AE185" i="8"/>
  <c r="AE186" i="8"/>
  <c r="AE187" i="8"/>
  <c r="AE188" i="8"/>
  <c r="AE189" i="8"/>
  <c r="AE190" i="8"/>
  <c r="AE191" i="8"/>
  <c r="AE192" i="8"/>
  <c r="AE193" i="8"/>
  <c r="AE194" i="8"/>
  <c r="AE195" i="8"/>
  <c r="AE196" i="8"/>
  <c r="AE197" i="8"/>
  <c r="AE198" i="8"/>
  <c r="AE199" i="8"/>
  <c r="AE200" i="8"/>
  <c r="AE201" i="8"/>
  <c r="AE202" i="8"/>
  <c r="AE203" i="8"/>
  <c r="AE204" i="8"/>
  <c r="AE205" i="8"/>
  <c r="AE206" i="8"/>
  <c r="AE207" i="8"/>
  <c r="AE208" i="8"/>
  <c r="AE209" i="8"/>
  <c r="AE210" i="8"/>
  <c r="AE211" i="8"/>
  <c r="AE212" i="8"/>
  <c r="AE213" i="8"/>
  <c r="AE214" i="8"/>
  <c r="AE215" i="8"/>
  <c r="AE216" i="8"/>
  <c r="AE217" i="8"/>
  <c r="AE218" i="8"/>
  <c r="AE219" i="8"/>
  <c r="AE220" i="8"/>
  <c r="AE221" i="8"/>
  <c r="AE222" i="8"/>
  <c r="AE223" i="8"/>
  <c r="AE224" i="8"/>
  <c r="AE225" i="8"/>
  <c r="AE226" i="8"/>
  <c r="AE227" i="8"/>
  <c r="AE228" i="8"/>
  <c r="AE229" i="8"/>
  <c r="AE230" i="8"/>
  <c r="AE231" i="8"/>
  <c r="AE232" i="8"/>
  <c r="AE233" i="8"/>
  <c r="AE234" i="8"/>
  <c r="AE235" i="8"/>
  <c r="AE236" i="8"/>
  <c r="AE237" i="8"/>
  <c r="AE238" i="8"/>
  <c r="AE239" i="8"/>
  <c r="AE240" i="8"/>
  <c r="AE241" i="8"/>
  <c r="AE242" i="8"/>
  <c r="AE243" i="8"/>
  <c r="AE244" i="8"/>
  <c r="AE245" i="8"/>
  <c r="AE246" i="8"/>
  <c r="AE247" i="8"/>
  <c r="AE248" i="8"/>
  <c r="AE249" i="8"/>
  <c r="AE250" i="8"/>
  <c r="AE251" i="8"/>
  <c r="AE252" i="8"/>
  <c r="AE253" i="8"/>
  <c r="AE254" i="8"/>
  <c r="AE255" i="8"/>
  <c r="AE256" i="8"/>
  <c r="AE257" i="8"/>
  <c r="AE258" i="8"/>
  <c r="AE259" i="8"/>
  <c r="AE260" i="8"/>
  <c r="AE261" i="8"/>
  <c r="AE262" i="8"/>
  <c r="AE263" i="8"/>
  <c r="AE264" i="8"/>
  <c r="AE265" i="8"/>
  <c r="AE266" i="8"/>
  <c r="AE267" i="8"/>
  <c r="AE268" i="8"/>
  <c r="AE269" i="8"/>
  <c r="AE270" i="8"/>
  <c r="AE271" i="8"/>
  <c r="AE272" i="8"/>
  <c r="AE273" i="8"/>
  <c r="AE274" i="8"/>
  <c r="AE275" i="8"/>
  <c r="AE276" i="8"/>
  <c r="AE277" i="8"/>
  <c r="AE278" i="8"/>
  <c r="AE279" i="8"/>
  <c r="AE280" i="8"/>
  <c r="AE281" i="8"/>
  <c r="AE282" i="8"/>
  <c r="AE283" i="8"/>
  <c r="AE284" i="8"/>
  <c r="AE285" i="8"/>
  <c r="AE286" i="8"/>
  <c r="AE287" i="8"/>
  <c r="AE288" i="8"/>
  <c r="AE289" i="8"/>
  <c r="AE290" i="8"/>
  <c r="AE291" i="8"/>
  <c r="AE292" i="8"/>
  <c r="AE293" i="8"/>
  <c r="AE294" i="8"/>
  <c r="AE295" i="8"/>
  <c r="AE296" i="8"/>
  <c r="AE297" i="8"/>
  <c r="AE298" i="8"/>
  <c r="AE299" i="8"/>
  <c r="AE300" i="8"/>
  <c r="AE301" i="8"/>
  <c r="AE302" i="8"/>
  <c r="AE303" i="8"/>
  <c r="AE304" i="8"/>
  <c r="AE305" i="8"/>
  <c r="AE306" i="8"/>
  <c r="AE307" i="8"/>
  <c r="AE308" i="8"/>
  <c r="AE309" i="8"/>
  <c r="AE310" i="8"/>
  <c r="AE311" i="8"/>
  <c r="AE312" i="8"/>
  <c r="AE313" i="8"/>
  <c r="AE314" i="8"/>
  <c r="AE315" i="8"/>
  <c r="AE316" i="8"/>
  <c r="AE317" i="8"/>
  <c r="AE318" i="8"/>
  <c r="AE319" i="8"/>
  <c r="AE320" i="8"/>
  <c r="AE321" i="8"/>
  <c r="AE322" i="8"/>
  <c r="AE323" i="8"/>
  <c r="AE324" i="8"/>
  <c r="AE325" i="8"/>
  <c r="AE326" i="8"/>
  <c r="AE327" i="8"/>
  <c r="AE328" i="8"/>
  <c r="AE329" i="8"/>
  <c r="AE330" i="8"/>
  <c r="AE331" i="8"/>
  <c r="AE332" i="8"/>
  <c r="AE333" i="8"/>
  <c r="AE334" i="8"/>
  <c r="AE335" i="8"/>
  <c r="AE336" i="8"/>
  <c r="AE337" i="8"/>
  <c r="AE338" i="8"/>
  <c r="AE339" i="8"/>
  <c r="AE340" i="8"/>
  <c r="AE341" i="8"/>
  <c r="AE342" i="8"/>
  <c r="AE343" i="8"/>
  <c r="AE344" i="8"/>
  <c r="AE345" i="8"/>
  <c r="AE346" i="8"/>
  <c r="AE347" i="8"/>
  <c r="AE348" i="8"/>
  <c r="AE349" i="8"/>
  <c r="AE350" i="8"/>
  <c r="AE351" i="8"/>
  <c r="AE352" i="8"/>
  <c r="AE353" i="8"/>
  <c r="AE354" i="8"/>
  <c r="AE355" i="8"/>
  <c r="AE356" i="8"/>
  <c r="AE357" i="8"/>
  <c r="AE358" i="8"/>
  <c r="AE359" i="8"/>
  <c r="AE360" i="8"/>
  <c r="AE361" i="8"/>
  <c r="AE362" i="8"/>
  <c r="AE363" i="8"/>
  <c r="AE364" i="8"/>
  <c r="AE365" i="8"/>
  <c r="AE366" i="8"/>
  <c r="AE367" i="8"/>
  <c r="AE368" i="8"/>
  <c r="AE369" i="8"/>
  <c r="AE370" i="8"/>
  <c r="AE371" i="8"/>
  <c r="AE372" i="8"/>
  <c r="AE373" i="8"/>
  <c r="AE374" i="8"/>
  <c r="AE375" i="8"/>
  <c r="AE376" i="8"/>
  <c r="AE377" i="8"/>
  <c r="AE378" i="8"/>
  <c r="AE379" i="8"/>
  <c r="AE380" i="8"/>
  <c r="AE381" i="8"/>
  <c r="AE382" i="8"/>
  <c r="AE383" i="8"/>
  <c r="AE384" i="8"/>
  <c r="AE385" i="8"/>
  <c r="AE386" i="8"/>
  <c r="AE387" i="8"/>
  <c r="AE388" i="8"/>
  <c r="AE389" i="8"/>
  <c r="AE390" i="8"/>
  <c r="AE391" i="8"/>
  <c r="AE392" i="8"/>
  <c r="AE393" i="8"/>
  <c r="AE394" i="8"/>
  <c r="AE395" i="8"/>
  <c r="AE396" i="8"/>
  <c r="AE397" i="8"/>
  <c r="AE398" i="8"/>
  <c r="AE399" i="8"/>
  <c r="AE400" i="8"/>
  <c r="AE401" i="8"/>
  <c r="AE402" i="8"/>
  <c r="AE403" i="8"/>
  <c r="AE404" i="8"/>
  <c r="AE405" i="8"/>
  <c r="AE406" i="8"/>
  <c r="AE407" i="8"/>
  <c r="AE408" i="8"/>
  <c r="AE409" i="8"/>
  <c r="AE410" i="8"/>
  <c r="AE411" i="8"/>
  <c r="AE412" i="8"/>
  <c r="AE413" i="8"/>
  <c r="AE414" i="8"/>
  <c r="AE415" i="8"/>
  <c r="AE416" i="8"/>
  <c r="AE417" i="8"/>
  <c r="AE418" i="8"/>
  <c r="AE419" i="8"/>
  <c r="AE420" i="8"/>
  <c r="AE421" i="8"/>
  <c r="AE422" i="8"/>
  <c r="AE423" i="8"/>
  <c r="AE424" i="8"/>
  <c r="AE425" i="8"/>
  <c r="AE426" i="8"/>
  <c r="AE427" i="8"/>
  <c r="AE428" i="8"/>
  <c r="AE429" i="8"/>
  <c r="AE430" i="8"/>
  <c r="AE431" i="8"/>
  <c r="AE432" i="8"/>
  <c r="AE433" i="8"/>
  <c r="AE434" i="8"/>
  <c r="AE435" i="8"/>
  <c r="AE436" i="8"/>
  <c r="AE437" i="8"/>
  <c r="AE438" i="8"/>
  <c r="AE439" i="8"/>
  <c r="AE440" i="8"/>
  <c r="AE441" i="8"/>
  <c r="AE442" i="8"/>
  <c r="AE443" i="8"/>
  <c r="AE444" i="8"/>
  <c r="AE445" i="8"/>
  <c r="AE446" i="8"/>
  <c r="AE447" i="8"/>
  <c r="AE448" i="8"/>
  <c r="AE449" i="8"/>
  <c r="AE450" i="8"/>
  <c r="AE451" i="8"/>
  <c r="AE452" i="8"/>
  <c r="AE453" i="8"/>
  <c r="AE454" i="8"/>
  <c r="AE455" i="8"/>
  <c r="AE456" i="8"/>
  <c r="AE457" i="8"/>
  <c r="AE458" i="8"/>
  <c r="AE459" i="8"/>
  <c r="AE460" i="8"/>
  <c r="AE461" i="8"/>
  <c r="AE462" i="8"/>
  <c r="AE463" i="8"/>
  <c r="AE464" i="8"/>
  <c r="AE465" i="8"/>
  <c r="AE466" i="8"/>
  <c r="AE467" i="8"/>
  <c r="AE468" i="8"/>
  <c r="AE469" i="8"/>
  <c r="AE470" i="8"/>
  <c r="AE471" i="8"/>
  <c r="AE472" i="8"/>
  <c r="AE473" i="8"/>
  <c r="AE474" i="8"/>
  <c r="AE475" i="8"/>
  <c r="AE476" i="8"/>
  <c r="AE477" i="8"/>
  <c r="AE478" i="8"/>
  <c r="AE479" i="8"/>
  <c r="AE480" i="8"/>
  <c r="AE481" i="8"/>
  <c r="AE482" i="8"/>
  <c r="AE483" i="8"/>
  <c r="AE484" i="8"/>
  <c r="AE485" i="8"/>
  <c r="AE486" i="8"/>
  <c r="AE487" i="8"/>
  <c r="AE488" i="8"/>
  <c r="AE489" i="8"/>
  <c r="AE490" i="8"/>
  <c r="AE491" i="8"/>
  <c r="AE492" i="8"/>
  <c r="AE493" i="8"/>
  <c r="AE494" i="8"/>
  <c r="AE495" i="8"/>
  <c r="AE496" i="8"/>
  <c r="AE497" i="8"/>
  <c r="AE498" i="8"/>
  <c r="AE499" i="8"/>
  <c r="AE500" i="8"/>
  <c r="AE501" i="8"/>
  <c r="AE502" i="8"/>
  <c r="AE503" i="8"/>
  <c r="AE504" i="8"/>
  <c r="AE505" i="8"/>
  <c r="AE506" i="8"/>
  <c r="AE507" i="8"/>
  <c r="AE508" i="8"/>
  <c r="AE509" i="8"/>
  <c r="AE510" i="8"/>
  <c r="F56" i="17"/>
  <c r="F68" i="17"/>
  <c r="F67" i="17"/>
  <c r="AC2" i="2"/>
  <c r="F69" i="17" l="1"/>
  <c r="Y7" i="8"/>
  <c r="Y8" i="8"/>
  <c r="Y9" i="8"/>
  <c r="AE9" i="8" s="1"/>
  <c r="Y10" i="8"/>
  <c r="Y11" i="8"/>
  <c r="Y12" i="8"/>
  <c r="Y13" i="8"/>
  <c r="Y14" i="8"/>
  <c r="Y15" i="8"/>
  <c r="Y16" i="8"/>
  <c r="Y17" i="8"/>
  <c r="Y18" i="8"/>
  <c r="Y19" i="8"/>
  <c r="Y20" i="8"/>
  <c r="Y21" i="8"/>
  <c r="Y22" i="8"/>
  <c r="Y23" i="8"/>
  <c r="Y24" i="8"/>
  <c r="Y25" i="8"/>
  <c r="Y26" i="8"/>
  <c r="Y27" i="8"/>
  <c r="Y28" i="8"/>
  <c r="Y29" i="8"/>
  <c r="Y30" i="8"/>
  <c r="Y31" i="8"/>
  <c r="Y32" i="8"/>
  <c r="Y33" i="8"/>
  <c r="Y34" i="8"/>
  <c r="Y35" i="8"/>
  <c r="Y36" i="8"/>
  <c r="Y37" i="8"/>
  <c r="Y38" i="8"/>
  <c r="Y39" i="8"/>
  <c r="Y40" i="8"/>
  <c r="Y41" i="8"/>
  <c r="Y42" i="8"/>
  <c r="Y43" i="8"/>
  <c r="Y44" i="8"/>
  <c r="Y45" i="8"/>
  <c r="Y46" i="8"/>
  <c r="Y47" i="8"/>
  <c r="Y48" i="8"/>
  <c r="Y49" i="8"/>
  <c r="Y50" i="8"/>
  <c r="Y51" i="8"/>
  <c r="Y52" i="8"/>
  <c r="Y53" i="8"/>
  <c r="Y54" i="8"/>
  <c r="Y55" i="8"/>
  <c r="Y56" i="8"/>
  <c r="Y57" i="8"/>
  <c r="Y58" i="8"/>
  <c r="Y59" i="8"/>
  <c r="Y60" i="8"/>
  <c r="Y61" i="8"/>
  <c r="Y62" i="8"/>
  <c r="Y63" i="8"/>
  <c r="Y64" i="8"/>
  <c r="Y65" i="8"/>
  <c r="Y66" i="8"/>
  <c r="Y67" i="8"/>
  <c r="Y68" i="8"/>
  <c r="Y69" i="8"/>
  <c r="Y70" i="8"/>
  <c r="Y71" i="8"/>
  <c r="Y72" i="8"/>
  <c r="Y73" i="8"/>
  <c r="Y74" i="8"/>
  <c r="Y75" i="8"/>
  <c r="Y76" i="8"/>
  <c r="Y77" i="8"/>
  <c r="Y78" i="8"/>
  <c r="Y79" i="8"/>
  <c r="Y80" i="8"/>
  <c r="Y81" i="8"/>
  <c r="Y82" i="8"/>
  <c r="Y83" i="8"/>
  <c r="Y84" i="8"/>
  <c r="Y85" i="8"/>
  <c r="Y86" i="8"/>
  <c r="Y87" i="8"/>
  <c r="Y88" i="8"/>
  <c r="Y89" i="8"/>
  <c r="Y90" i="8"/>
  <c r="Y91" i="8"/>
  <c r="Y92" i="8"/>
  <c r="Y93" i="8"/>
  <c r="Y94" i="8"/>
  <c r="Y95" i="8"/>
  <c r="Y96" i="8"/>
  <c r="Y97" i="8"/>
  <c r="Y98" i="8"/>
  <c r="Y99" i="8"/>
  <c r="Y100" i="8"/>
  <c r="Y101" i="8"/>
  <c r="Y102" i="8"/>
  <c r="Y103" i="8"/>
  <c r="Y104" i="8"/>
  <c r="Y105" i="8"/>
  <c r="Y106" i="8"/>
  <c r="Y107" i="8"/>
  <c r="Y108" i="8"/>
  <c r="Y109" i="8"/>
  <c r="Y110" i="8"/>
  <c r="Y111" i="8"/>
  <c r="Y112" i="8"/>
  <c r="Y113" i="8"/>
  <c r="Y114" i="8"/>
  <c r="Y115" i="8"/>
  <c r="Y116" i="8"/>
  <c r="Y117" i="8"/>
  <c r="Y118" i="8"/>
  <c r="Y119" i="8"/>
  <c r="Y120" i="8"/>
  <c r="Y121" i="8"/>
  <c r="Y122" i="8"/>
  <c r="Y123" i="8"/>
  <c r="Y124" i="8"/>
  <c r="Y125" i="8"/>
  <c r="Y126" i="8"/>
  <c r="Y127" i="8"/>
  <c r="Y128" i="8"/>
  <c r="Y129" i="8"/>
  <c r="Y130" i="8"/>
  <c r="Y131" i="8"/>
  <c r="Y132" i="8"/>
  <c r="Y133" i="8"/>
  <c r="Y134" i="8"/>
  <c r="Y135" i="8"/>
  <c r="Y136" i="8"/>
  <c r="Y137" i="8"/>
  <c r="Y138" i="8"/>
  <c r="Y139" i="8"/>
  <c r="Y140" i="8"/>
  <c r="Y141" i="8"/>
  <c r="Y142" i="8"/>
  <c r="Y143" i="8"/>
  <c r="Y144" i="8"/>
  <c r="Y145" i="8"/>
  <c r="Y146" i="8"/>
  <c r="Y147" i="8"/>
  <c r="Y148" i="8"/>
  <c r="Y149" i="8"/>
  <c r="Y150" i="8"/>
  <c r="Y151" i="8"/>
  <c r="Y152" i="8"/>
  <c r="Y153" i="8"/>
  <c r="Y154" i="8"/>
  <c r="Y155" i="8"/>
  <c r="Y156" i="8"/>
  <c r="Y157" i="8"/>
  <c r="Y158" i="8"/>
  <c r="Y159" i="8"/>
  <c r="Y160" i="8"/>
  <c r="Y161" i="8"/>
  <c r="Y162" i="8"/>
  <c r="Y163" i="8"/>
  <c r="Y164" i="8"/>
  <c r="Y165" i="8"/>
  <c r="Y166" i="8"/>
  <c r="Y167" i="8"/>
  <c r="Y168" i="8"/>
  <c r="Y169" i="8"/>
  <c r="Y170" i="8"/>
  <c r="Y171" i="8"/>
  <c r="Y172" i="8"/>
  <c r="Y173" i="8"/>
  <c r="Y174" i="8"/>
  <c r="Y175" i="8"/>
  <c r="Y176" i="8"/>
  <c r="Y177" i="8"/>
  <c r="Y178" i="8"/>
  <c r="Y179" i="8"/>
  <c r="Y180" i="8"/>
  <c r="Y181" i="8"/>
  <c r="Y182" i="8"/>
  <c r="Y183" i="8"/>
  <c r="Y184" i="8"/>
  <c r="Y185" i="8"/>
  <c r="Y186" i="8"/>
  <c r="Y187" i="8"/>
  <c r="Y188" i="8"/>
  <c r="Y189" i="8"/>
  <c r="Y190" i="8"/>
  <c r="Y191" i="8"/>
  <c r="Y192" i="8"/>
  <c r="Y193" i="8"/>
  <c r="Y194" i="8"/>
  <c r="Y195" i="8"/>
  <c r="Y196" i="8"/>
  <c r="Y197" i="8"/>
  <c r="Y198" i="8"/>
  <c r="Y199" i="8"/>
  <c r="Y200" i="8"/>
  <c r="Y201" i="8"/>
  <c r="Y202" i="8"/>
  <c r="Y203" i="8"/>
  <c r="Y204" i="8"/>
  <c r="Y205" i="8"/>
  <c r="Y206" i="8"/>
  <c r="Y207" i="8"/>
  <c r="Y208" i="8"/>
  <c r="Y209" i="8"/>
  <c r="Y210" i="8"/>
  <c r="Y211" i="8"/>
  <c r="Y212" i="8"/>
  <c r="Y213" i="8"/>
  <c r="Y214" i="8"/>
  <c r="Y215" i="8"/>
  <c r="Y216" i="8"/>
  <c r="Y217" i="8"/>
  <c r="Y218" i="8"/>
  <c r="Y219" i="8"/>
  <c r="Y220" i="8"/>
  <c r="Y221" i="8"/>
  <c r="Y222" i="8"/>
  <c r="Y223" i="8"/>
  <c r="Y224" i="8"/>
  <c r="Y225" i="8"/>
  <c r="Y226" i="8"/>
  <c r="Y227" i="8"/>
  <c r="Y228" i="8"/>
  <c r="Y229" i="8"/>
  <c r="Y230" i="8"/>
  <c r="Y231" i="8"/>
  <c r="Y232" i="8"/>
  <c r="Y233" i="8"/>
  <c r="Y234" i="8"/>
  <c r="Y235" i="8"/>
  <c r="Y236" i="8"/>
  <c r="Y237" i="8"/>
  <c r="Y238" i="8"/>
  <c r="Y239" i="8"/>
  <c r="Y240" i="8"/>
  <c r="Y241" i="8"/>
  <c r="Y242" i="8"/>
  <c r="Y243" i="8"/>
  <c r="Y244" i="8"/>
  <c r="Y245" i="8"/>
  <c r="Y246" i="8"/>
  <c r="Y247" i="8"/>
  <c r="Y248" i="8"/>
  <c r="Y249" i="8"/>
  <c r="Y250" i="8"/>
  <c r="Y251" i="8"/>
  <c r="Y252" i="8"/>
  <c r="Y253" i="8"/>
  <c r="Y254" i="8"/>
  <c r="Y255" i="8"/>
  <c r="Y256" i="8"/>
  <c r="Y257" i="8"/>
  <c r="Y258" i="8"/>
  <c r="Y259" i="8"/>
  <c r="Y260" i="8"/>
  <c r="Y261" i="8"/>
  <c r="Y262" i="8"/>
  <c r="Y263" i="8"/>
  <c r="Y264" i="8"/>
  <c r="Y265" i="8"/>
  <c r="Y266" i="8"/>
  <c r="Y267" i="8"/>
  <c r="Y268" i="8"/>
  <c r="Y269" i="8"/>
  <c r="Y270" i="8"/>
  <c r="Y271" i="8"/>
  <c r="Y272" i="8"/>
  <c r="Y273" i="8"/>
  <c r="Y274" i="8"/>
  <c r="Y275" i="8"/>
  <c r="Y276" i="8"/>
  <c r="Y277" i="8"/>
  <c r="Y278" i="8"/>
  <c r="Y279" i="8"/>
  <c r="Y280" i="8"/>
  <c r="Y281" i="8"/>
  <c r="Y282" i="8"/>
  <c r="Y283" i="8"/>
  <c r="Y284" i="8"/>
  <c r="Y285" i="8"/>
  <c r="Y286" i="8"/>
  <c r="Y287" i="8"/>
  <c r="Y288" i="8"/>
  <c r="Y289" i="8"/>
  <c r="Y290" i="8"/>
  <c r="Y291" i="8"/>
  <c r="Y292" i="8"/>
  <c r="Y293" i="8"/>
  <c r="Y294" i="8"/>
  <c r="Y295" i="8"/>
  <c r="Y296" i="8"/>
  <c r="Y297" i="8"/>
  <c r="Y298" i="8"/>
  <c r="Y299" i="8"/>
  <c r="Y300" i="8"/>
  <c r="Y301" i="8"/>
  <c r="Y302" i="8"/>
  <c r="Y303" i="8"/>
  <c r="Y304" i="8"/>
  <c r="Y305" i="8"/>
  <c r="Y306" i="8"/>
  <c r="Y307" i="8"/>
  <c r="Y308" i="8"/>
  <c r="Y309" i="8"/>
  <c r="Y310" i="8"/>
  <c r="Y311" i="8"/>
  <c r="Y312" i="8"/>
  <c r="Y313" i="8"/>
  <c r="Y314" i="8"/>
  <c r="Y315" i="8"/>
  <c r="Y316" i="8"/>
  <c r="Y317" i="8"/>
  <c r="Y318" i="8"/>
  <c r="Y319" i="8"/>
  <c r="Y320" i="8"/>
  <c r="Y321" i="8"/>
  <c r="Y322" i="8"/>
  <c r="Y323" i="8"/>
  <c r="Y324" i="8"/>
  <c r="Y325" i="8"/>
  <c r="Y326" i="8"/>
  <c r="Y327" i="8"/>
  <c r="Y328" i="8"/>
  <c r="Y329" i="8"/>
  <c r="Y330" i="8"/>
  <c r="Y331" i="8"/>
  <c r="Y332" i="8"/>
  <c r="Y333" i="8"/>
  <c r="Y334" i="8"/>
  <c r="Y335" i="8"/>
  <c r="Y336" i="8"/>
  <c r="Y337" i="8"/>
  <c r="Y338" i="8"/>
  <c r="Y339" i="8"/>
  <c r="Y340" i="8"/>
  <c r="Y341" i="8"/>
  <c r="Y342" i="8"/>
  <c r="Y343" i="8"/>
  <c r="Y344" i="8"/>
  <c r="Y345" i="8"/>
  <c r="Y346" i="8"/>
  <c r="Y347" i="8"/>
  <c r="Y348" i="8"/>
  <c r="Y349" i="8"/>
  <c r="Y350" i="8"/>
  <c r="Y351" i="8"/>
  <c r="Y352" i="8"/>
  <c r="Y353" i="8"/>
  <c r="Y354" i="8"/>
  <c r="Y355" i="8"/>
  <c r="Y356" i="8"/>
  <c r="Y357" i="8"/>
  <c r="Y358" i="8"/>
  <c r="Y359" i="8"/>
  <c r="Y360" i="8"/>
  <c r="Y361" i="8"/>
  <c r="Y362" i="8"/>
  <c r="Y363" i="8"/>
  <c r="Y364" i="8"/>
  <c r="Y365" i="8"/>
  <c r="Y366" i="8"/>
  <c r="Y367" i="8"/>
  <c r="Y368" i="8"/>
  <c r="Y369" i="8"/>
  <c r="Y370" i="8"/>
  <c r="Y371" i="8"/>
  <c r="Y372" i="8"/>
  <c r="Y373" i="8"/>
  <c r="Y374" i="8"/>
  <c r="Y375" i="8"/>
  <c r="Y376" i="8"/>
  <c r="Y377" i="8"/>
  <c r="Y378" i="8"/>
  <c r="Y379" i="8"/>
  <c r="Y380" i="8"/>
  <c r="Y381" i="8"/>
  <c r="Y382" i="8"/>
  <c r="Y383" i="8"/>
  <c r="Y384" i="8"/>
  <c r="Y385" i="8"/>
  <c r="Y386" i="8"/>
  <c r="Y387" i="8"/>
  <c r="Y388" i="8"/>
  <c r="Y389" i="8"/>
  <c r="Y390" i="8"/>
  <c r="Y391" i="8"/>
  <c r="Y392" i="8"/>
  <c r="Y393" i="8"/>
  <c r="Y394" i="8"/>
  <c r="Y395" i="8"/>
  <c r="Y396" i="8"/>
  <c r="Y397" i="8"/>
  <c r="Y398" i="8"/>
  <c r="Y399" i="8"/>
  <c r="Y400" i="8"/>
  <c r="Y401" i="8"/>
  <c r="Y402" i="8"/>
  <c r="Y403" i="8"/>
  <c r="Y404" i="8"/>
  <c r="Y405" i="8"/>
  <c r="Y406" i="8"/>
  <c r="Y407" i="8"/>
  <c r="Y408" i="8"/>
  <c r="Y409" i="8"/>
  <c r="Y410" i="8"/>
  <c r="Y411" i="8"/>
  <c r="Y412" i="8"/>
  <c r="Y413" i="8"/>
  <c r="Y414" i="8"/>
  <c r="Y415" i="8"/>
  <c r="Y416" i="8"/>
  <c r="Y417" i="8"/>
  <c r="Y418" i="8"/>
  <c r="Y419" i="8"/>
  <c r="Y420" i="8"/>
  <c r="Y421" i="8"/>
  <c r="Y422" i="8"/>
  <c r="Y423" i="8"/>
  <c r="Y424" i="8"/>
  <c r="Y425" i="8"/>
  <c r="Y426" i="8"/>
  <c r="Y427" i="8"/>
  <c r="Y428" i="8"/>
  <c r="Y429" i="8"/>
  <c r="Y430" i="8"/>
  <c r="Y431" i="8"/>
  <c r="Y432" i="8"/>
  <c r="Y433" i="8"/>
  <c r="Y434" i="8"/>
  <c r="Y435" i="8"/>
  <c r="Y436" i="8"/>
  <c r="Y437" i="8"/>
  <c r="Y438" i="8"/>
  <c r="Y439" i="8"/>
  <c r="Y440" i="8"/>
  <c r="Y441" i="8"/>
  <c r="Y442" i="8"/>
  <c r="Y443" i="8"/>
  <c r="Y444" i="8"/>
  <c r="Y445" i="8"/>
  <c r="Y446" i="8"/>
  <c r="Y447" i="8"/>
  <c r="Y448" i="8"/>
  <c r="Y449" i="8"/>
  <c r="Y450" i="8"/>
  <c r="Y451" i="8"/>
  <c r="Y452" i="8"/>
  <c r="Y453" i="8"/>
  <c r="Y454" i="8"/>
  <c r="Y455" i="8"/>
  <c r="Y456" i="8"/>
  <c r="Y457" i="8"/>
  <c r="Y458" i="8"/>
  <c r="Y459" i="8"/>
  <c r="Y460" i="8"/>
  <c r="Y461" i="8"/>
  <c r="Y462" i="8"/>
  <c r="Y463" i="8"/>
  <c r="Y464" i="8"/>
  <c r="Y465" i="8"/>
  <c r="Y466" i="8"/>
  <c r="Y467" i="8"/>
  <c r="Y468" i="8"/>
  <c r="Y469" i="8"/>
  <c r="Y470" i="8"/>
  <c r="Y471" i="8"/>
  <c r="Y472" i="8"/>
  <c r="Y473" i="8"/>
  <c r="Y474" i="8"/>
  <c r="Y475" i="8"/>
  <c r="Y476" i="8"/>
  <c r="Y477" i="8"/>
  <c r="Y478" i="8"/>
  <c r="Y479" i="8"/>
  <c r="Y480" i="8"/>
  <c r="Y481" i="8"/>
  <c r="Y482" i="8"/>
  <c r="Y483" i="8"/>
  <c r="Y484" i="8"/>
  <c r="Y485" i="8"/>
  <c r="Y486" i="8"/>
  <c r="Y487" i="8"/>
  <c r="Y488" i="8"/>
  <c r="Y489" i="8"/>
  <c r="Y490" i="8"/>
  <c r="Y491" i="8"/>
  <c r="Y492" i="8"/>
  <c r="Y493" i="8"/>
  <c r="Y494" i="8"/>
  <c r="Y495" i="8"/>
  <c r="Y496" i="8"/>
  <c r="Y497" i="8"/>
  <c r="Y498" i="8"/>
  <c r="Y499" i="8"/>
  <c r="Y500" i="8"/>
  <c r="Y501" i="8"/>
  <c r="Y502" i="8"/>
  <c r="Y503" i="8"/>
  <c r="Y504" i="8"/>
  <c r="Y505" i="8"/>
  <c r="Y506" i="8"/>
  <c r="Y507" i="8"/>
  <c r="Y508" i="8"/>
  <c r="Y509" i="8"/>
  <c r="Y510" i="8"/>
  <c r="AA8" i="8" l="1"/>
  <c r="AE8" i="8"/>
  <c r="AA477" i="8"/>
  <c r="AD477" i="8"/>
  <c r="AA437" i="8"/>
  <c r="AD437" i="8"/>
  <c r="AA373" i="8"/>
  <c r="AD373" i="8"/>
  <c r="AA301" i="8"/>
  <c r="AD301" i="8"/>
  <c r="AA229" i="8"/>
  <c r="AD229" i="8"/>
  <c r="AA181" i="8"/>
  <c r="AD181" i="8"/>
  <c r="AA133" i="8"/>
  <c r="AD133" i="8"/>
  <c r="AA77" i="8"/>
  <c r="AD77" i="8"/>
  <c r="AA53" i="8"/>
  <c r="AD53" i="8"/>
  <c r="AA508" i="8"/>
  <c r="AD508" i="8"/>
  <c r="AA476" i="8"/>
  <c r="AD476" i="8"/>
  <c r="AA468" i="8"/>
  <c r="AD468" i="8"/>
  <c r="AA460" i="8"/>
  <c r="AD460" i="8"/>
  <c r="AA452" i="8"/>
  <c r="AD452" i="8"/>
  <c r="AA444" i="8"/>
  <c r="AD444" i="8"/>
  <c r="AA436" i="8"/>
  <c r="AD436" i="8"/>
  <c r="AA428" i="8"/>
  <c r="AD428" i="8"/>
  <c r="AA420" i="8"/>
  <c r="AD420" i="8"/>
  <c r="AA412" i="8"/>
  <c r="AD412" i="8"/>
  <c r="AA404" i="8"/>
  <c r="AD404" i="8"/>
  <c r="AA396" i="8"/>
  <c r="AD396" i="8"/>
  <c r="AA388" i="8"/>
  <c r="AD388" i="8"/>
  <c r="AA380" i="8"/>
  <c r="AD380" i="8"/>
  <c r="AA372" i="8"/>
  <c r="AD372" i="8"/>
  <c r="AA364" i="8"/>
  <c r="AD364" i="8"/>
  <c r="AA356" i="8"/>
  <c r="AD356" i="8"/>
  <c r="AA348" i="8"/>
  <c r="AD348" i="8"/>
  <c r="AA340" i="8"/>
  <c r="AD340" i="8"/>
  <c r="AA332" i="8"/>
  <c r="AD332" i="8"/>
  <c r="AA324" i="8"/>
  <c r="AD324" i="8"/>
  <c r="AA316" i="8"/>
  <c r="AD316" i="8"/>
  <c r="AA308" i="8"/>
  <c r="AD308" i="8"/>
  <c r="AA300" i="8"/>
  <c r="AD300" i="8"/>
  <c r="AA292" i="8"/>
  <c r="AD292" i="8"/>
  <c r="AA284" i="8"/>
  <c r="AD284" i="8"/>
  <c r="AA276" i="8"/>
  <c r="AD276" i="8"/>
  <c r="AA268" i="8"/>
  <c r="AD268" i="8"/>
  <c r="AA260" i="8"/>
  <c r="AD260" i="8"/>
  <c r="AA252" i="8"/>
  <c r="AD252" i="8"/>
  <c r="AA244" i="8"/>
  <c r="AD244" i="8"/>
  <c r="AA236" i="8"/>
  <c r="AD236" i="8"/>
  <c r="AA228" i="8"/>
  <c r="AD228" i="8"/>
  <c r="AA220" i="8"/>
  <c r="AD220" i="8"/>
  <c r="AA212" i="8"/>
  <c r="AD212" i="8"/>
  <c r="AA204" i="8"/>
  <c r="AD204" i="8"/>
  <c r="AA196" i="8"/>
  <c r="AD196" i="8"/>
  <c r="AA188" i="8"/>
  <c r="AD188" i="8"/>
  <c r="AA180" i="8"/>
  <c r="AD180" i="8"/>
  <c r="AA172" i="8"/>
  <c r="AD172" i="8"/>
  <c r="AA164" i="8"/>
  <c r="AD164" i="8"/>
  <c r="AA156" i="8"/>
  <c r="AD156" i="8"/>
  <c r="AA148" i="8"/>
  <c r="AD148" i="8"/>
  <c r="AA140" i="8"/>
  <c r="AD140" i="8"/>
  <c r="AA132" i="8"/>
  <c r="AD132" i="8"/>
  <c r="AA124" i="8"/>
  <c r="AD124" i="8"/>
  <c r="AA116" i="8"/>
  <c r="AD116" i="8"/>
  <c r="AA108" i="8"/>
  <c r="AD108" i="8"/>
  <c r="AA100" i="8"/>
  <c r="AD100" i="8"/>
  <c r="AA92" i="8"/>
  <c r="AD92" i="8"/>
  <c r="AA84" i="8"/>
  <c r="AD84" i="8"/>
  <c r="AA76" i="8"/>
  <c r="AD76" i="8"/>
  <c r="AA68" i="8"/>
  <c r="AD68" i="8"/>
  <c r="AA60" i="8"/>
  <c r="AD60" i="8"/>
  <c r="AA52" i="8"/>
  <c r="AD52" i="8"/>
  <c r="AA44" i="8"/>
  <c r="AD44" i="8"/>
  <c r="AA36" i="8"/>
  <c r="AD36" i="8"/>
  <c r="AA28" i="8"/>
  <c r="AD28" i="8"/>
  <c r="AA20" i="8"/>
  <c r="AD20" i="8"/>
  <c r="AA12" i="8"/>
  <c r="AD12" i="8"/>
  <c r="AA509" i="8"/>
  <c r="AD509" i="8"/>
  <c r="AA413" i="8"/>
  <c r="AD413" i="8"/>
  <c r="AA325" i="8"/>
  <c r="AD325" i="8"/>
  <c r="AA213" i="8"/>
  <c r="AD213" i="8"/>
  <c r="AA125" i="8"/>
  <c r="AD125" i="8"/>
  <c r="AA61" i="8"/>
  <c r="AD61" i="8"/>
  <c r="AA499" i="8"/>
  <c r="AD499" i="8"/>
  <c r="AA427" i="8"/>
  <c r="AD427" i="8"/>
  <c r="AA363" i="8"/>
  <c r="AD363" i="8"/>
  <c r="AA339" i="8"/>
  <c r="AD339" i="8"/>
  <c r="AA299" i="8"/>
  <c r="AD299" i="8"/>
  <c r="AA291" i="8"/>
  <c r="AD291" i="8"/>
  <c r="AA283" i="8"/>
  <c r="AD283" i="8"/>
  <c r="AA275" i="8"/>
  <c r="AD275" i="8"/>
  <c r="AA267" i="8"/>
  <c r="AD267" i="8"/>
  <c r="AA259" i="8"/>
  <c r="AD259" i="8"/>
  <c r="AA251" i="8"/>
  <c r="AD251" i="8"/>
  <c r="AA243" i="8"/>
  <c r="AD243" i="8"/>
  <c r="AA235" i="8"/>
  <c r="AD235" i="8"/>
  <c r="AA227" i="8"/>
  <c r="AD227" i="8"/>
  <c r="AA219" i="8"/>
  <c r="AD219" i="8"/>
  <c r="AA211" i="8"/>
  <c r="AD211" i="8"/>
  <c r="AA203" i="8"/>
  <c r="AD203" i="8"/>
  <c r="AA195" i="8"/>
  <c r="AD195" i="8"/>
  <c r="AA187" i="8"/>
  <c r="AD187" i="8"/>
  <c r="AA179" i="8"/>
  <c r="AD179" i="8"/>
  <c r="AA171" i="8"/>
  <c r="AD171" i="8"/>
  <c r="AA163" i="8"/>
  <c r="AD163" i="8"/>
  <c r="AA155" i="8"/>
  <c r="AD155" i="8"/>
  <c r="AA147" i="8"/>
  <c r="AD147" i="8"/>
  <c r="AA139" i="8"/>
  <c r="AD139" i="8"/>
  <c r="AA131" i="8"/>
  <c r="AD131" i="8"/>
  <c r="AA123" i="8"/>
  <c r="AD123" i="8"/>
  <c r="AA115" i="8"/>
  <c r="AD115" i="8"/>
  <c r="AA107" i="8"/>
  <c r="AD107" i="8"/>
  <c r="AA99" i="8"/>
  <c r="AD99" i="8"/>
  <c r="AA91" i="8"/>
  <c r="AD91" i="8"/>
  <c r="AA83" i="8"/>
  <c r="AD83" i="8"/>
  <c r="AA75" i="8"/>
  <c r="AD75" i="8"/>
  <c r="AA67" i="8"/>
  <c r="AD67" i="8"/>
  <c r="AA59" i="8"/>
  <c r="AD59" i="8"/>
  <c r="AA51" i="8"/>
  <c r="AD51" i="8"/>
  <c r="AA43" i="8"/>
  <c r="AD43" i="8"/>
  <c r="AA35" i="8"/>
  <c r="AD35" i="8"/>
  <c r="AA27" i="8"/>
  <c r="AD27" i="8"/>
  <c r="AA19" i="8"/>
  <c r="AD19" i="8"/>
  <c r="AA11" i="8"/>
  <c r="AD11" i="8"/>
  <c r="AA493" i="8"/>
  <c r="AD493" i="8"/>
  <c r="AA445" i="8"/>
  <c r="AD445" i="8"/>
  <c r="AA405" i="8"/>
  <c r="AD405" i="8"/>
  <c r="AA357" i="8"/>
  <c r="AD357" i="8"/>
  <c r="AA309" i="8"/>
  <c r="AD309" i="8"/>
  <c r="AA261" i="8"/>
  <c r="AD261" i="8"/>
  <c r="AA205" i="8"/>
  <c r="AD205" i="8"/>
  <c r="AA157" i="8"/>
  <c r="AD157" i="8"/>
  <c r="AA101" i="8"/>
  <c r="AD101" i="8"/>
  <c r="AA21" i="8"/>
  <c r="AD21" i="8"/>
  <c r="AA507" i="8"/>
  <c r="AD507" i="8"/>
  <c r="AA459" i="8"/>
  <c r="AD459" i="8"/>
  <c r="AA419" i="8"/>
  <c r="AD419" i="8"/>
  <c r="AA379" i="8"/>
  <c r="AD379" i="8"/>
  <c r="AA323" i="8"/>
  <c r="AD323" i="8"/>
  <c r="AA498" i="8"/>
  <c r="AD498" i="8"/>
  <c r="AA490" i="8"/>
  <c r="AD490" i="8"/>
  <c r="AA482" i="8"/>
  <c r="AD482" i="8"/>
  <c r="AA474" i="8"/>
  <c r="AD474" i="8"/>
  <c r="AA466" i="8"/>
  <c r="AD466" i="8"/>
  <c r="AA458" i="8"/>
  <c r="AD458" i="8"/>
  <c r="AA450" i="8"/>
  <c r="AD450" i="8"/>
  <c r="AA442" i="8"/>
  <c r="AD442" i="8"/>
  <c r="AA434" i="8"/>
  <c r="AD434" i="8"/>
  <c r="AA426" i="8"/>
  <c r="AD426" i="8"/>
  <c r="AA418" i="8"/>
  <c r="AD418" i="8"/>
  <c r="AA410" i="8"/>
  <c r="AD410" i="8"/>
  <c r="AA402" i="8"/>
  <c r="AD402" i="8"/>
  <c r="AA394" i="8"/>
  <c r="AD394" i="8"/>
  <c r="AA386" i="8"/>
  <c r="AD386" i="8"/>
  <c r="AA378" i="8"/>
  <c r="AD378" i="8"/>
  <c r="AA370" i="8"/>
  <c r="AD370" i="8"/>
  <c r="AA362" i="8"/>
  <c r="AD362" i="8"/>
  <c r="AA354" i="8"/>
  <c r="AD354" i="8"/>
  <c r="AA346" i="8"/>
  <c r="AD346" i="8"/>
  <c r="AA338" i="8"/>
  <c r="AD338" i="8"/>
  <c r="AA330" i="8"/>
  <c r="AD330" i="8"/>
  <c r="AA322" i="8"/>
  <c r="AD322" i="8"/>
  <c r="AA314" i="8"/>
  <c r="AD314" i="8"/>
  <c r="AA306" i="8"/>
  <c r="AD306" i="8"/>
  <c r="AA298" i="8"/>
  <c r="AD298" i="8"/>
  <c r="AA290" i="8"/>
  <c r="AD290" i="8"/>
  <c r="AA282" i="8"/>
  <c r="AD282" i="8"/>
  <c r="AA274" i="8"/>
  <c r="AD274" i="8"/>
  <c r="AA266" i="8"/>
  <c r="AD266" i="8"/>
  <c r="AA258" i="8"/>
  <c r="AD258" i="8"/>
  <c r="AA250" i="8"/>
  <c r="AD250" i="8"/>
  <c r="AA242" i="8"/>
  <c r="AD242" i="8"/>
  <c r="AA234" i="8"/>
  <c r="AD234" i="8"/>
  <c r="AA226" i="8"/>
  <c r="AD226" i="8"/>
  <c r="AA218" i="8"/>
  <c r="AD218" i="8"/>
  <c r="AA210" i="8"/>
  <c r="AD210" i="8"/>
  <c r="AA202" i="8"/>
  <c r="AD202" i="8"/>
  <c r="AA194" i="8"/>
  <c r="AD194" i="8"/>
  <c r="AA186" i="8"/>
  <c r="AD186" i="8"/>
  <c r="AA178" i="8"/>
  <c r="AD178" i="8"/>
  <c r="AA170" i="8"/>
  <c r="AD170" i="8"/>
  <c r="AA162" i="8"/>
  <c r="AD162" i="8"/>
  <c r="AA154" i="8"/>
  <c r="AD154" i="8"/>
  <c r="AA146" i="8"/>
  <c r="AD146" i="8"/>
  <c r="AA138" i="8"/>
  <c r="AD138" i="8"/>
  <c r="AA130" i="8"/>
  <c r="AD130" i="8"/>
  <c r="AA122" i="8"/>
  <c r="AD122" i="8"/>
  <c r="AA114" i="8"/>
  <c r="AD114" i="8"/>
  <c r="AA106" i="8"/>
  <c r="AD106" i="8"/>
  <c r="AA98" i="8"/>
  <c r="AD98" i="8"/>
  <c r="AA90" i="8"/>
  <c r="AD90" i="8"/>
  <c r="AA82" i="8"/>
  <c r="AD82" i="8"/>
  <c r="AA74" i="8"/>
  <c r="AD74" i="8"/>
  <c r="AA66" i="8"/>
  <c r="AD66" i="8"/>
  <c r="AA58" i="8"/>
  <c r="AD58" i="8"/>
  <c r="AA50" i="8"/>
  <c r="AD50" i="8"/>
  <c r="AA42" i="8"/>
  <c r="AD42" i="8"/>
  <c r="AA34" i="8"/>
  <c r="AD34" i="8"/>
  <c r="AA26" i="8"/>
  <c r="AD26" i="8"/>
  <c r="AA18" i="8"/>
  <c r="AD18" i="8"/>
  <c r="AA10" i="8"/>
  <c r="AD10" i="8"/>
  <c r="AA453" i="8"/>
  <c r="AD453" i="8"/>
  <c r="AA389" i="8"/>
  <c r="AD389" i="8"/>
  <c r="AA341" i="8"/>
  <c r="AD341" i="8"/>
  <c r="AA285" i="8"/>
  <c r="AD285" i="8"/>
  <c r="AA253" i="8"/>
  <c r="AD253" i="8"/>
  <c r="AA189" i="8"/>
  <c r="AD189" i="8"/>
  <c r="AA141" i="8"/>
  <c r="AD141" i="8"/>
  <c r="AA85" i="8"/>
  <c r="AD85" i="8"/>
  <c r="AA45" i="8"/>
  <c r="AD45" i="8"/>
  <c r="AA500" i="8"/>
  <c r="AD500" i="8"/>
  <c r="AA483" i="8"/>
  <c r="AD483" i="8"/>
  <c r="AA443" i="8"/>
  <c r="AD443" i="8"/>
  <c r="AA395" i="8"/>
  <c r="AD395" i="8"/>
  <c r="AA307" i="8"/>
  <c r="AD307" i="8"/>
  <c r="AA505" i="8"/>
  <c r="AD505" i="8"/>
  <c r="AA497" i="8"/>
  <c r="AD497" i="8"/>
  <c r="AA489" i="8"/>
  <c r="AD489" i="8"/>
  <c r="AA481" i="8"/>
  <c r="AD481" i="8"/>
  <c r="AA473" i="8"/>
  <c r="AD473" i="8"/>
  <c r="AA465" i="8"/>
  <c r="AD465" i="8"/>
  <c r="AA457" i="8"/>
  <c r="AD457" i="8"/>
  <c r="AA449" i="8"/>
  <c r="AD449" i="8"/>
  <c r="AA441" i="8"/>
  <c r="AD441" i="8"/>
  <c r="AA433" i="8"/>
  <c r="AD433" i="8"/>
  <c r="AA425" i="8"/>
  <c r="AD425" i="8"/>
  <c r="AA417" i="8"/>
  <c r="AD417" i="8"/>
  <c r="AA409" i="8"/>
  <c r="AD409" i="8"/>
  <c r="AA401" i="8"/>
  <c r="AD401" i="8"/>
  <c r="AA393" i="8"/>
  <c r="AD393" i="8"/>
  <c r="AA385" i="8"/>
  <c r="AD385" i="8"/>
  <c r="AA377" i="8"/>
  <c r="AD377" i="8"/>
  <c r="AA369" i="8"/>
  <c r="AD369" i="8"/>
  <c r="AA361" i="8"/>
  <c r="AD361" i="8"/>
  <c r="AA353" i="8"/>
  <c r="AD353" i="8"/>
  <c r="AA345" i="8"/>
  <c r="AD345" i="8"/>
  <c r="AA337" i="8"/>
  <c r="AD337" i="8"/>
  <c r="AA329" i="8"/>
  <c r="AD329" i="8"/>
  <c r="AA321" i="8"/>
  <c r="AD321" i="8"/>
  <c r="AA313" i="8"/>
  <c r="AD313" i="8"/>
  <c r="AA305" i="8"/>
  <c r="AD305" i="8"/>
  <c r="AA297" i="8"/>
  <c r="AD297" i="8"/>
  <c r="AA289" i="8"/>
  <c r="AD289" i="8"/>
  <c r="AA281" i="8"/>
  <c r="AD281" i="8"/>
  <c r="AA273" i="8"/>
  <c r="AD273" i="8"/>
  <c r="AA265" i="8"/>
  <c r="AD265" i="8"/>
  <c r="AA257" i="8"/>
  <c r="AD257" i="8"/>
  <c r="AA249" i="8"/>
  <c r="AD249" i="8"/>
  <c r="AA241" i="8"/>
  <c r="AD241" i="8"/>
  <c r="AA233" i="8"/>
  <c r="AD233" i="8"/>
  <c r="AA225" i="8"/>
  <c r="AD225" i="8"/>
  <c r="AA217" i="8"/>
  <c r="AD217" i="8"/>
  <c r="AA209" i="8"/>
  <c r="AD209" i="8"/>
  <c r="AA201" i="8"/>
  <c r="AD201" i="8"/>
  <c r="AA193" i="8"/>
  <c r="AD193" i="8"/>
  <c r="AA185" i="8"/>
  <c r="AD185" i="8"/>
  <c r="AA177" i="8"/>
  <c r="AD177" i="8"/>
  <c r="AA169" i="8"/>
  <c r="AD169" i="8"/>
  <c r="AA161" i="8"/>
  <c r="AD161" i="8"/>
  <c r="AA153" i="8"/>
  <c r="AD153" i="8"/>
  <c r="AA145" i="8"/>
  <c r="AD145" i="8"/>
  <c r="AA137" i="8"/>
  <c r="AD137" i="8"/>
  <c r="AA129" i="8"/>
  <c r="AD129" i="8"/>
  <c r="AA121" i="8"/>
  <c r="AD121" i="8"/>
  <c r="AA113" i="8"/>
  <c r="AD113" i="8"/>
  <c r="AA105" i="8"/>
  <c r="AD105" i="8"/>
  <c r="AA97" i="8"/>
  <c r="AD97" i="8"/>
  <c r="AA89" i="8"/>
  <c r="AD89" i="8"/>
  <c r="AA81" i="8"/>
  <c r="AD81" i="8"/>
  <c r="AA73" i="8"/>
  <c r="AD73" i="8"/>
  <c r="AA65" i="8"/>
  <c r="AD65" i="8"/>
  <c r="AA57" i="8"/>
  <c r="AD57" i="8"/>
  <c r="AA49" i="8"/>
  <c r="AD49" i="8"/>
  <c r="AA41" i="8"/>
  <c r="AD41" i="8"/>
  <c r="AA33" i="8"/>
  <c r="AD33" i="8"/>
  <c r="AA25" i="8"/>
  <c r="AD25" i="8"/>
  <c r="AA17" i="8"/>
  <c r="AD17" i="8"/>
  <c r="AA9" i="8"/>
  <c r="AD9" i="8"/>
  <c r="AA485" i="8"/>
  <c r="AD485" i="8"/>
  <c r="AA429" i="8"/>
  <c r="AD429" i="8"/>
  <c r="AA365" i="8"/>
  <c r="AD365" i="8"/>
  <c r="AA293" i="8"/>
  <c r="AD293" i="8"/>
  <c r="AA237" i="8"/>
  <c r="AD237" i="8"/>
  <c r="AA173" i="8"/>
  <c r="AD173" i="8"/>
  <c r="AA109" i="8"/>
  <c r="AD109" i="8"/>
  <c r="AA13" i="8"/>
  <c r="AD13" i="8"/>
  <c r="AA491" i="8"/>
  <c r="AD491" i="8"/>
  <c r="AA451" i="8"/>
  <c r="AD451" i="8"/>
  <c r="AA403" i="8"/>
  <c r="AD403" i="8"/>
  <c r="AA355" i="8"/>
  <c r="AD355" i="8"/>
  <c r="AA331" i="8"/>
  <c r="AD331" i="8"/>
  <c r="AA480" i="8"/>
  <c r="AD480" i="8"/>
  <c r="AA456" i="8"/>
  <c r="AD456" i="8"/>
  <c r="AA440" i="8"/>
  <c r="AD440" i="8"/>
  <c r="AA432" i="8"/>
  <c r="AD432" i="8"/>
  <c r="AA424" i="8"/>
  <c r="AD424" i="8"/>
  <c r="AA416" i="8"/>
  <c r="AD416" i="8"/>
  <c r="AA408" i="8"/>
  <c r="AD408" i="8"/>
  <c r="AA400" i="8"/>
  <c r="AD400" i="8"/>
  <c r="AA392" i="8"/>
  <c r="AD392" i="8"/>
  <c r="AA384" i="8"/>
  <c r="AD384" i="8"/>
  <c r="AA376" i="8"/>
  <c r="AD376" i="8"/>
  <c r="AA368" i="8"/>
  <c r="AD368" i="8"/>
  <c r="AA360" i="8"/>
  <c r="AD360" i="8"/>
  <c r="AA352" i="8"/>
  <c r="AD352" i="8"/>
  <c r="AA344" i="8"/>
  <c r="AD344" i="8"/>
  <c r="AA336" i="8"/>
  <c r="AD336" i="8"/>
  <c r="AA328" i="8"/>
  <c r="AD328" i="8"/>
  <c r="AA320" i="8"/>
  <c r="AD320" i="8"/>
  <c r="AA312" i="8"/>
  <c r="AD312" i="8"/>
  <c r="AA304" i="8"/>
  <c r="AD304" i="8"/>
  <c r="AA296" i="8"/>
  <c r="AD296" i="8"/>
  <c r="AA288" i="8"/>
  <c r="AD288" i="8"/>
  <c r="AA280" i="8"/>
  <c r="AD280" i="8"/>
  <c r="AA272" i="8"/>
  <c r="AD272" i="8"/>
  <c r="AA264" i="8"/>
  <c r="AD264" i="8"/>
  <c r="AA256" i="8"/>
  <c r="AD256" i="8"/>
  <c r="AA248" i="8"/>
  <c r="AD248" i="8"/>
  <c r="AA240" i="8"/>
  <c r="AD240" i="8"/>
  <c r="AA232" i="8"/>
  <c r="AD232" i="8"/>
  <c r="AA224" i="8"/>
  <c r="AD224" i="8"/>
  <c r="AA216" i="8"/>
  <c r="AD216" i="8"/>
  <c r="AA208" i="8"/>
  <c r="AD208" i="8"/>
  <c r="AA200" i="8"/>
  <c r="AD200" i="8"/>
  <c r="AA192" i="8"/>
  <c r="AD192" i="8"/>
  <c r="AA184" i="8"/>
  <c r="AD184" i="8"/>
  <c r="AA176" i="8"/>
  <c r="AD176" i="8"/>
  <c r="AA168" i="8"/>
  <c r="AD168" i="8"/>
  <c r="AA160" i="8"/>
  <c r="AD160" i="8"/>
  <c r="AA152" i="8"/>
  <c r="AD152" i="8"/>
  <c r="AA144" i="8"/>
  <c r="AD144" i="8"/>
  <c r="AA136" i="8"/>
  <c r="AD136" i="8"/>
  <c r="AA128" i="8"/>
  <c r="AD128" i="8"/>
  <c r="AA120" i="8"/>
  <c r="AD120" i="8"/>
  <c r="AA112" i="8"/>
  <c r="AD112" i="8"/>
  <c r="AA104" i="8"/>
  <c r="AD104" i="8"/>
  <c r="AA96" i="8"/>
  <c r="AD96" i="8"/>
  <c r="AA88" i="8"/>
  <c r="AD88" i="8"/>
  <c r="AA80" i="8"/>
  <c r="AD80" i="8"/>
  <c r="AA72" i="8"/>
  <c r="AD72" i="8"/>
  <c r="AA64" i="8"/>
  <c r="AD64" i="8"/>
  <c r="AA56" i="8"/>
  <c r="AD56" i="8"/>
  <c r="AA48" i="8"/>
  <c r="AD48" i="8"/>
  <c r="AA40" i="8"/>
  <c r="AD40" i="8"/>
  <c r="AA32" i="8"/>
  <c r="AD32" i="8"/>
  <c r="AA24" i="8"/>
  <c r="AD24" i="8"/>
  <c r="AA16" i="8"/>
  <c r="AD16" i="8"/>
  <c r="AA469" i="8"/>
  <c r="AD469" i="8"/>
  <c r="AA421" i="8"/>
  <c r="AD421" i="8"/>
  <c r="AA381" i="8"/>
  <c r="AD381" i="8"/>
  <c r="AA333" i="8"/>
  <c r="AD333" i="8"/>
  <c r="AA277" i="8"/>
  <c r="AD277" i="8"/>
  <c r="AA245" i="8"/>
  <c r="AD245" i="8"/>
  <c r="AA197" i="8"/>
  <c r="AD197" i="8"/>
  <c r="AA165" i="8"/>
  <c r="AD165" i="8"/>
  <c r="AA117" i="8"/>
  <c r="AD117" i="8"/>
  <c r="AA69" i="8"/>
  <c r="AD69" i="8"/>
  <c r="AA37" i="8"/>
  <c r="AD37" i="8"/>
  <c r="AA492" i="8"/>
  <c r="AD492" i="8"/>
  <c r="AA475" i="8"/>
  <c r="AD475" i="8"/>
  <c r="AA435" i="8"/>
  <c r="AD435" i="8"/>
  <c r="AA387" i="8"/>
  <c r="AD387" i="8"/>
  <c r="AA315" i="8"/>
  <c r="AD315" i="8"/>
  <c r="AA504" i="8"/>
  <c r="AD504" i="8"/>
  <c r="AA488" i="8"/>
  <c r="AD488" i="8"/>
  <c r="AA464" i="8"/>
  <c r="AD464" i="8"/>
  <c r="AA503" i="8"/>
  <c r="AD503" i="8"/>
  <c r="AA487" i="8"/>
  <c r="AD487" i="8"/>
  <c r="AA479" i="8"/>
  <c r="AD479" i="8"/>
  <c r="AA471" i="8"/>
  <c r="AD471" i="8"/>
  <c r="AA463" i="8"/>
  <c r="AD463" i="8"/>
  <c r="AA455" i="8"/>
  <c r="AD455" i="8"/>
  <c r="AA447" i="8"/>
  <c r="AD447" i="8"/>
  <c r="AA439" i="8"/>
  <c r="AD439" i="8"/>
  <c r="AA431" i="8"/>
  <c r="AD431" i="8"/>
  <c r="AA423" i="8"/>
  <c r="AD423" i="8"/>
  <c r="AA415" i="8"/>
  <c r="AD415" i="8"/>
  <c r="AA407" i="8"/>
  <c r="AD407" i="8"/>
  <c r="AA399" i="8"/>
  <c r="AD399" i="8"/>
  <c r="AA391" i="8"/>
  <c r="AD391" i="8"/>
  <c r="AA383" i="8"/>
  <c r="AD383" i="8"/>
  <c r="AA375" i="8"/>
  <c r="AD375" i="8"/>
  <c r="AA367" i="8"/>
  <c r="AD367" i="8"/>
  <c r="AA359" i="8"/>
  <c r="AD359" i="8"/>
  <c r="AA351" i="8"/>
  <c r="AD351" i="8"/>
  <c r="AA343" i="8"/>
  <c r="AD343" i="8"/>
  <c r="AA335" i="8"/>
  <c r="AD335" i="8"/>
  <c r="AA327" i="8"/>
  <c r="AD327" i="8"/>
  <c r="AA319" i="8"/>
  <c r="AD319" i="8"/>
  <c r="AA311" i="8"/>
  <c r="AD311" i="8"/>
  <c r="AA303" i="8"/>
  <c r="AD303" i="8"/>
  <c r="AA295" i="8"/>
  <c r="AD295" i="8"/>
  <c r="AA287" i="8"/>
  <c r="AD287" i="8"/>
  <c r="AA279" i="8"/>
  <c r="AD279" i="8"/>
  <c r="AA271" i="8"/>
  <c r="AD271" i="8"/>
  <c r="AA263" i="8"/>
  <c r="AD263" i="8"/>
  <c r="AA255" i="8"/>
  <c r="AD255" i="8"/>
  <c r="AA247" i="8"/>
  <c r="AD247" i="8"/>
  <c r="AA239" i="8"/>
  <c r="AD239" i="8"/>
  <c r="AA231" i="8"/>
  <c r="AD231" i="8"/>
  <c r="AA223" i="8"/>
  <c r="AD223" i="8"/>
  <c r="AA215" i="8"/>
  <c r="AD215" i="8"/>
  <c r="AA207" i="8"/>
  <c r="AD207" i="8"/>
  <c r="AA199" i="8"/>
  <c r="AD199" i="8"/>
  <c r="AA191" i="8"/>
  <c r="AD191" i="8"/>
  <c r="AA183" i="8"/>
  <c r="AD183" i="8"/>
  <c r="AA175" i="8"/>
  <c r="AD175" i="8"/>
  <c r="AA167" i="8"/>
  <c r="AD167" i="8"/>
  <c r="AA159" i="8"/>
  <c r="AD159" i="8"/>
  <c r="AA151" i="8"/>
  <c r="AD151" i="8"/>
  <c r="AA143" i="8"/>
  <c r="AD143" i="8"/>
  <c r="AA135" i="8"/>
  <c r="AD135" i="8"/>
  <c r="AA127" i="8"/>
  <c r="AD127" i="8"/>
  <c r="AA119" i="8"/>
  <c r="AD119" i="8"/>
  <c r="AA111" i="8"/>
  <c r="AD111" i="8"/>
  <c r="AA103" i="8"/>
  <c r="AD103" i="8"/>
  <c r="AA95" i="8"/>
  <c r="AD95" i="8"/>
  <c r="AA87" i="8"/>
  <c r="AD87" i="8"/>
  <c r="AA79" i="8"/>
  <c r="AD79" i="8"/>
  <c r="AA71" i="8"/>
  <c r="AD71" i="8"/>
  <c r="AA63" i="8"/>
  <c r="AD63" i="8"/>
  <c r="AA55" i="8"/>
  <c r="AD55" i="8"/>
  <c r="AA47" i="8"/>
  <c r="AD47" i="8"/>
  <c r="AA39" i="8"/>
  <c r="AD39" i="8"/>
  <c r="AA31" i="8"/>
  <c r="AD31" i="8"/>
  <c r="AA23" i="8"/>
  <c r="AD23" i="8"/>
  <c r="AA15" i="8"/>
  <c r="AD15" i="8"/>
  <c r="AA501" i="8"/>
  <c r="AD501" i="8"/>
  <c r="AA461" i="8"/>
  <c r="AD461" i="8"/>
  <c r="AA397" i="8"/>
  <c r="AD397" i="8"/>
  <c r="AA349" i="8"/>
  <c r="AD349" i="8"/>
  <c r="AA317" i="8"/>
  <c r="AD317" i="8"/>
  <c r="AA269" i="8"/>
  <c r="AD269" i="8"/>
  <c r="AA221" i="8"/>
  <c r="AD221" i="8"/>
  <c r="AA149" i="8"/>
  <c r="AD149" i="8"/>
  <c r="AA93" i="8"/>
  <c r="AD93" i="8"/>
  <c r="AA29" i="8"/>
  <c r="AD29" i="8"/>
  <c r="AA484" i="8"/>
  <c r="AD484" i="8"/>
  <c r="AA467" i="8"/>
  <c r="AD467" i="8"/>
  <c r="AA411" i="8"/>
  <c r="AD411" i="8"/>
  <c r="AA371" i="8"/>
  <c r="AD371" i="8"/>
  <c r="AA347" i="8"/>
  <c r="AD347" i="8"/>
  <c r="AA506" i="8"/>
  <c r="AD506" i="8"/>
  <c r="AA496" i="8"/>
  <c r="AD496" i="8"/>
  <c r="AA472" i="8"/>
  <c r="AD472" i="8"/>
  <c r="AA448" i="8"/>
  <c r="AD448" i="8"/>
  <c r="AA495" i="8"/>
  <c r="AD495" i="8"/>
  <c r="AA510" i="8"/>
  <c r="AD510" i="8"/>
  <c r="AA502" i="8"/>
  <c r="AD502" i="8"/>
  <c r="AA494" i="8"/>
  <c r="AD494" i="8"/>
  <c r="AA486" i="8"/>
  <c r="AD486" i="8"/>
  <c r="AA478" i="8"/>
  <c r="AD478" i="8"/>
  <c r="AA470" i="8"/>
  <c r="AD470" i="8"/>
  <c r="AA462" i="8"/>
  <c r="AD462" i="8"/>
  <c r="AA454" i="8"/>
  <c r="AD454" i="8"/>
  <c r="AA446" i="8"/>
  <c r="AD446" i="8"/>
  <c r="AA438" i="8"/>
  <c r="AD438" i="8"/>
  <c r="AA430" i="8"/>
  <c r="AD430" i="8"/>
  <c r="AA422" i="8"/>
  <c r="AD422" i="8"/>
  <c r="AA414" i="8"/>
  <c r="AD414" i="8"/>
  <c r="AA406" i="8"/>
  <c r="AD406" i="8"/>
  <c r="AA398" i="8"/>
  <c r="AD398" i="8"/>
  <c r="AA390" i="8"/>
  <c r="AD390" i="8"/>
  <c r="AA382" i="8"/>
  <c r="AD382" i="8"/>
  <c r="AA374" i="8"/>
  <c r="AD374" i="8"/>
  <c r="AA366" i="8"/>
  <c r="AD366" i="8"/>
  <c r="AA358" i="8"/>
  <c r="AD358" i="8"/>
  <c r="AA350" i="8"/>
  <c r="AD350" i="8"/>
  <c r="AA342" i="8"/>
  <c r="AD342" i="8"/>
  <c r="AA334" i="8"/>
  <c r="AD334" i="8"/>
  <c r="AA326" i="8"/>
  <c r="AD326" i="8"/>
  <c r="AA318" i="8"/>
  <c r="AD318" i="8"/>
  <c r="AA310" i="8"/>
  <c r="AD310" i="8"/>
  <c r="AA302" i="8"/>
  <c r="AD302" i="8"/>
  <c r="AA294" i="8"/>
  <c r="AD294" i="8"/>
  <c r="AA286" i="8"/>
  <c r="AD286" i="8"/>
  <c r="AA278" i="8"/>
  <c r="AD278" i="8"/>
  <c r="AA270" i="8"/>
  <c r="AD270" i="8"/>
  <c r="AA262" i="8"/>
  <c r="AD262" i="8"/>
  <c r="AA254" i="8"/>
  <c r="AD254" i="8"/>
  <c r="AA246" i="8"/>
  <c r="AD246" i="8"/>
  <c r="AA238" i="8"/>
  <c r="AD238" i="8"/>
  <c r="AA230" i="8"/>
  <c r="AD230" i="8"/>
  <c r="AA222" i="8"/>
  <c r="AD222" i="8"/>
  <c r="AA214" i="8"/>
  <c r="AD214" i="8"/>
  <c r="AA206" i="8"/>
  <c r="AD206" i="8"/>
  <c r="AA198" i="8"/>
  <c r="AD198" i="8"/>
  <c r="AA190" i="8"/>
  <c r="AD190" i="8"/>
  <c r="AA182" i="8"/>
  <c r="AD182" i="8"/>
  <c r="AA174" i="8"/>
  <c r="AD174" i="8"/>
  <c r="AA166" i="8"/>
  <c r="AD166" i="8"/>
  <c r="AA158" i="8"/>
  <c r="AD158" i="8"/>
  <c r="AA150" i="8"/>
  <c r="AD150" i="8"/>
  <c r="AA142" i="8"/>
  <c r="AD142" i="8"/>
  <c r="AA134" i="8"/>
  <c r="AD134" i="8"/>
  <c r="AA126" i="8"/>
  <c r="AD126" i="8"/>
  <c r="AA118" i="8"/>
  <c r="AD118" i="8"/>
  <c r="AA110" i="8"/>
  <c r="AD110" i="8"/>
  <c r="AA102" i="8"/>
  <c r="AD102" i="8"/>
  <c r="AA94" i="8"/>
  <c r="AD94" i="8"/>
  <c r="AA86" i="8"/>
  <c r="AD86" i="8"/>
  <c r="AA78" i="8"/>
  <c r="AD78" i="8"/>
  <c r="AA70" i="8"/>
  <c r="AD70" i="8"/>
  <c r="AA62" i="8"/>
  <c r="AD62" i="8"/>
  <c r="AA54" i="8"/>
  <c r="AD54" i="8"/>
  <c r="AA46" i="8"/>
  <c r="AD46" i="8"/>
  <c r="AA38" i="8"/>
  <c r="AD38" i="8"/>
  <c r="AA30" i="8"/>
  <c r="AD30" i="8"/>
  <c r="AA22" i="8"/>
  <c r="AD22" i="8"/>
  <c r="AA14" i="8"/>
  <c r="AD14" i="8"/>
  <c r="AD7" i="8"/>
  <c r="AA7" i="8"/>
  <c r="AD8" i="8"/>
  <c r="AE96" i="2"/>
  <c r="E188" i="15" s="1"/>
  <c r="E207" i="15" s="1"/>
  <c r="AE7" i="8"/>
  <c r="AF96" i="2" s="1"/>
  <c r="AD96" i="2"/>
  <c r="D188" i="15" s="1"/>
  <c r="AD97" i="2"/>
  <c r="D189" i="15" s="1"/>
  <c r="C29" i="17" s="1"/>
  <c r="F29" i="14" s="1"/>
  <c r="AD98" i="2"/>
  <c r="D190" i="15" s="1"/>
  <c r="C30" i="17" s="1"/>
  <c r="F30" i="14" s="1"/>
  <c r="AD99" i="2"/>
  <c r="D191" i="15" s="1"/>
  <c r="C31" i="17" s="1"/>
  <c r="F31" i="14" s="1"/>
  <c r="AD100" i="2"/>
  <c r="D192" i="15" s="1"/>
  <c r="C32" i="17" s="1"/>
  <c r="F32" i="14" s="1"/>
  <c r="AD101" i="2"/>
  <c r="D193" i="15" s="1"/>
  <c r="C34" i="17" s="1"/>
  <c r="F34" i="14" s="1"/>
  <c r="AD102" i="2"/>
  <c r="D194" i="15" s="1"/>
  <c r="C35" i="17" s="1"/>
  <c r="F35" i="14" s="1"/>
  <c r="AD103" i="2"/>
  <c r="D195" i="15" s="1"/>
  <c r="C36" i="17" s="1"/>
  <c r="F36" i="14" s="1"/>
  <c r="AD104" i="2"/>
  <c r="D196" i="15" s="1"/>
  <c r="C37" i="17" s="1"/>
  <c r="F37" i="14" s="1"/>
  <c r="AD105" i="2"/>
  <c r="D197" i="15" s="1"/>
  <c r="C38" i="17" s="1"/>
  <c r="F38" i="14" s="1"/>
  <c r="AD106" i="2"/>
  <c r="D198" i="15" s="1"/>
  <c r="C39" i="17" s="1"/>
  <c r="F39" i="14" s="1"/>
  <c r="AD107" i="2"/>
  <c r="D199" i="15" s="1"/>
  <c r="C40" i="17" s="1"/>
  <c r="F40" i="14" s="1"/>
  <c r="AD108" i="2"/>
  <c r="D200" i="15" s="1"/>
  <c r="C41" i="17" s="1"/>
  <c r="F41" i="14" s="1"/>
  <c r="AD109" i="2"/>
  <c r="D201" i="15" s="1"/>
  <c r="C43" i="17" s="1"/>
  <c r="F43" i="14" s="1"/>
  <c r="AD110" i="2"/>
  <c r="D202" i="15" s="1"/>
  <c r="C44" i="17" s="1"/>
  <c r="F44" i="14" s="1"/>
  <c r="AD111" i="2"/>
  <c r="D203" i="15" s="1"/>
  <c r="C47" i="17" s="1"/>
  <c r="F47" i="14" s="1"/>
  <c r="AD112" i="2"/>
  <c r="D204" i="15" s="1"/>
  <c r="C48" i="17" s="1"/>
  <c r="F48" i="14" s="1"/>
  <c r="AD113" i="2"/>
  <c r="D205" i="15" s="1"/>
  <c r="C51" i="17" s="1"/>
  <c r="F51" i="14" s="1"/>
  <c r="AD114" i="2"/>
  <c r="D206" i="15" s="1"/>
  <c r="C79" i="17"/>
  <c r="B73" i="17"/>
  <c r="B72" i="17"/>
  <c r="B3" i="17"/>
  <c r="B2" i="17"/>
  <c r="B1" i="17"/>
  <c r="AH8" i="12"/>
  <c r="AH9" i="12"/>
  <c r="AH10" i="12"/>
  <c r="AH11" i="12"/>
  <c r="AH12" i="12"/>
  <c r="AH13" i="12"/>
  <c r="AH14" i="12"/>
  <c r="AH15" i="12"/>
  <c r="AH16" i="12"/>
  <c r="AH17" i="12"/>
  <c r="AH18" i="12"/>
  <c r="AH19" i="12"/>
  <c r="AH20" i="12"/>
  <c r="AH21" i="12"/>
  <c r="AH22" i="12"/>
  <c r="AH23" i="12"/>
  <c r="AH24" i="12"/>
  <c r="AH25" i="12"/>
  <c r="AH26" i="12"/>
  <c r="AH27" i="12"/>
  <c r="AH28" i="12"/>
  <c r="AH29" i="12"/>
  <c r="AH30" i="12"/>
  <c r="AH31" i="12"/>
  <c r="AH32" i="12"/>
  <c r="AH33" i="12"/>
  <c r="AH34" i="12"/>
  <c r="AH35" i="12"/>
  <c r="AH36" i="12"/>
  <c r="AH37" i="12"/>
  <c r="AH38" i="12"/>
  <c r="AH39" i="12"/>
  <c r="AH40" i="12"/>
  <c r="AH41" i="12"/>
  <c r="AH42" i="12"/>
  <c r="AH43" i="12"/>
  <c r="AH44" i="12"/>
  <c r="AH45" i="12"/>
  <c r="AH46" i="12"/>
  <c r="AH47" i="12"/>
  <c r="AH48" i="12"/>
  <c r="AH49" i="12"/>
  <c r="AH50" i="12"/>
  <c r="AH51" i="12"/>
  <c r="AH52" i="12"/>
  <c r="AH53" i="12"/>
  <c r="AH54" i="12"/>
  <c r="AH55" i="12"/>
  <c r="AH56" i="12"/>
  <c r="AH57" i="12"/>
  <c r="AH58" i="12"/>
  <c r="AH59" i="12"/>
  <c r="AH60" i="12"/>
  <c r="AH61" i="12"/>
  <c r="AH62" i="12"/>
  <c r="AH63" i="12"/>
  <c r="AH64" i="12"/>
  <c r="AH65" i="12"/>
  <c r="AH66" i="12"/>
  <c r="AH67" i="12"/>
  <c r="AH68" i="12"/>
  <c r="AH69" i="12"/>
  <c r="AH70" i="12"/>
  <c r="AH71" i="12"/>
  <c r="AH72" i="12"/>
  <c r="AH73" i="12"/>
  <c r="AH74" i="12"/>
  <c r="AH75" i="12"/>
  <c r="AH76" i="12"/>
  <c r="AH77" i="12"/>
  <c r="AH78" i="12"/>
  <c r="AH79" i="12"/>
  <c r="AH80" i="12"/>
  <c r="AH81" i="12"/>
  <c r="AH82" i="12"/>
  <c r="AH83" i="12"/>
  <c r="AH84" i="12"/>
  <c r="AH85" i="12"/>
  <c r="AH86" i="12"/>
  <c r="AH87" i="12"/>
  <c r="AH88" i="12"/>
  <c r="AH89" i="12"/>
  <c r="AH90" i="12"/>
  <c r="AH91" i="12"/>
  <c r="AH92" i="12"/>
  <c r="AH93" i="12"/>
  <c r="AH94" i="12"/>
  <c r="AH95" i="12"/>
  <c r="AH96" i="12"/>
  <c r="AH97" i="12"/>
  <c r="AH98" i="12"/>
  <c r="AH99" i="12"/>
  <c r="AH100" i="12"/>
  <c r="AH101" i="12"/>
  <c r="AH102" i="12"/>
  <c r="AH103" i="12"/>
  <c r="AH104" i="12"/>
  <c r="AH105" i="12"/>
  <c r="AH106" i="12"/>
  <c r="AH107" i="12"/>
  <c r="AH108" i="12"/>
  <c r="AH109" i="12"/>
  <c r="AH110" i="12"/>
  <c r="AH111" i="12"/>
  <c r="AH112" i="12"/>
  <c r="AH113" i="12"/>
  <c r="AH114" i="12"/>
  <c r="AH115" i="12"/>
  <c r="AH116" i="12"/>
  <c r="AH117" i="12"/>
  <c r="AH118" i="12"/>
  <c r="AH119" i="12"/>
  <c r="AH120" i="12"/>
  <c r="AH121" i="12"/>
  <c r="AH122" i="12"/>
  <c r="AH123" i="12"/>
  <c r="AH124" i="12"/>
  <c r="AH125" i="12"/>
  <c r="AH126" i="12"/>
  <c r="AH127" i="12"/>
  <c r="AH128" i="12"/>
  <c r="AH129" i="12"/>
  <c r="AH130" i="12"/>
  <c r="AH131" i="12"/>
  <c r="AH132" i="12"/>
  <c r="AH133" i="12"/>
  <c r="AH134" i="12"/>
  <c r="AH135" i="12"/>
  <c r="AH136" i="12"/>
  <c r="AH137" i="12"/>
  <c r="AH138" i="12"/>
  <c r="AH139" i="12"/>
  <c r="AH140" i="12"/>
  <c r="AH141" i="12"/>
  <c r="AH142" i="12"/>
  <c r="AH143" i="12"/>
  <c r="AH144" i="12"/>
  <c r="AH145" i="12"/>
  <c r="AH146" i="12"/>
  <c r="AH147" i="12"/>
  <c r="AH148" i="12"/>
  <c r="AH149" i="12"/>
  <c r="AH150" i="12"/>
  <c r="AH151" i="12"/>
  <c r="AH152" i="12"/>
  <c r="AH153" i="12"/>
  <c r="AH154" i="12"/>
  <c r="AH155" i="12"/>
  <c r="AH156" i="12"/>
  <c r="AH157" i="12"/>
  <c r="AH158" i="12"/>
  <c r="AH159" i="12"/>
  <c r="AH160" i="12"/>
  <c r="AH161" i="12"/>
  <c r="AH162" i="12"/>
  <c r="AH163" i="12"/>
  <c r="AH164" i="12"/>
  <c r="AH165" i="12"/>
  <c r="AH166" i="12"/>
  <c r="AH167" i="12"/>
  <c r="AH168" i="12"/>
  <c r="AH169" i="12"/>
  <c r="AH170" i="12"/>
  <c r="AH171" i="12"/>
  <c r="AH172" i="12"/>
  <c r="AH173" i="12"/>
  <c r="AH174" i="12"/>
  <c r="AH175" i="12"/>
  <c r="AH176" i="12"/>
  <c r="AH177" i="12"/>
  <c r="AH178" i="12"/>
  <c r="AH179" i="12"/>
  <c r="AH180" i="12"/>
  <c r="AH181" i="12"/>
  <c r="AH182" i="12"/>
  <c r="AH183" i="12"/>
  <c r="AH184" i="12"/>
  <c r="AH185" i="12"/>
  <c r="AH186" i="12"/>
  <c r="AH187" i="12"/>
  <c r="AH188" i="12"/>
  <c r="AH189" i="12"/>
  <c r="AH190" i="12"/>
  <c r="AH191" i="12"/>
  <c r="AH192" i="12"/>
  <c r="AH193" i="12"/>
  <c r="AH194" i="12"/>
  <c r="AH195" i="12"/>
  <c r="AH196" i="12"/>
  <c r="AH197" i="12"/>
  <c r="AH198" i="12"/>
  <c r="AH199" i="12"/>
  <c r="AH200" i="12"/>
  <c r="AH201" i="12"/>
  <c r="AH202" i="12"/>
  <c r="AH203" i="12"/>
  <c r="AH204" i="12"/>
  <c r="AH205" i="12"/>
  <c r="AH206" i="12"/>
  <c r="AH207" i="12"/>
  <c r="AH208" i="12"/>
  <c r="AH209" i="12"/>
  <c r="AH210" i="12"/>
  <c r="AH211" i="12"/>
  <c r="AH212" i="12"/>
  <c r="AH213" i="12"/>
  <c r="AH214" i="12"/>
  <c r="AH215" i="12"/>
  <c r="AH216" i="12"/>
  <c r="AH217" i="12"/>
  <c r="AH218" i="12"/>
  <c r="AH219" i="12"/>
  <c r="AH220" i="12"/>
  <c r="AH221" i="12"/>
  <c r="AH222" i="12"/>
  <c r="AH223" i="12"/>
  <c r="AH224" i="12"/>
  <c r="AH225" i="12"/>
  <c r="AH226" i="12"/>
  <c r="AH227" i="12"/>
  <c r="AH228" i="12"/>
  <c r="AH229" i="12"/>
  <c r="AH230" i="12"/>
  <c r="AH231" i="12"/>
  <c r="AH232" i="12"/>
  <c r="AH233" i="12"/>
  <c r="AH234" i="12"/>
  <c r="AH235" i="12"/>
  <c r="AH236" i="12"/>
  <c r="AH237" i="12"/>
  <c r="AH238" i="12"/>
  <c r="AH239" i="12"/>
  <c r="AH240" i="12"/>
  <c r="AH241" i="12"/>
  <c r="AH242" i="12"/>
  <c r="AH243" i="12"/>
  <c r="AH244" i="12"/>
  <c r="AH245" i="12"/>
  <c r="AH246" i="12"/>
  <c r="AH247" i="12"/>
  <c r="AH248" i="12"/>
  <c r="AH249" i="12"/>
  <c r="AH250" i="12"/>
  <c r="AH251" i="12"/>
  <c r="AH252" i="12"/>
  <c r="AH253" i="12"/>
  <c r="AH254" i="12"/>
  <c r="AH255" i="12"/>
  <c r="AH256" i="12"/>
  <c r="AH257" i="12"/>
  <c r="AH258" i="12"/>
  <c r="AH259" i="12"/>
  <c r="AH260" i="12"/>
  <c r="AH261" i="12"/>
  <c r="AH262" i="12"/>
  <c r="AH263" i="12"/>
  <c r="AH264" i="12"/>
  <c r="AH265" i="12"/>
  <c r="AH266" i="12"/>
  <c r="AH267" i="12"/>
  <c r="AH268" i="12"/>
  <c r="AH269" i="12"/>
  <c r="AH270" i="12"/>
  <c r="AH271" i="12"/>
  <c r="AH272" i="12"/>
  <c r="AH273" i="12"/>
  <c r="AH274" i="12"/>
  <c r="AH275" i="12"/>
  <c r="AH276" i="12"/>
  <c r="AH277" i="12"/>
  <c r="AH278" i="12"/>
  <c r="AH279" i="12"/>
  <c r="AH280" i="12"/>
  <c r="AH281" i="12"/>
  <c r="AH282" i="12"/>
  <c r="AH283" i="12"/>
  <c r="AH284" i="12"/>
  <c r="AH285" i="12"/>
  <c r="AH286" i="12"/>
  <c r="AH287" i="12"/>
  <c r="AH288" i="12"/>
  <c r="AH289" i="12"/>
  <c r="AH290" i="12"/>
  <c r="AH291" i="12"/>
  <c r="AH292" i="12"/>
  <c r="AH293" i="12"/>
  <c r="AH294" i="12"/>
  <c r="AH295" i="12"/>
  <c r="AH296" i="12"/>
  <c r="AH297" i="12"/>
  <c r="AH298" i="12"/>
  <c r="AH299" i="12"/>
  <c r="AH300" i="12"/>
  <c r="AH301" i="12"/>
  <c r="AH302" i="12"/>
  <c r="AH303" i="12"/>
  <c r="AH304" i="12"/>
  <c r="AH305" i="12"/>
  <c r="AH306" i="12"/>
  <c r="AH307" i="12"/>
  <c r="AH308" i="12"/>
  <c r="AH309" i="12"/>
  <c r="AH310" i="12"/>
  <c r="AH311" i="12"/>
  <c r="AH312" i="12"/>
  <c r="AH313" i="12"/>
  <c r="AH314" i="12"/>
  <c r="AH315" i="12"/>
  <c r="AH316" i="12"/>
  <c r="AH317" i="12"/>
  <c r="AH318" i="12"/>
  <c r="AH319" i="12"/>
  <c r="AH320" i="12"/>
  <c r="AH321" i="12"/>
  <c r="AH322" i="12"/>
  <c r="AH323" i="12"/>
  <c r="AH324" i="12"/>
  <c r="AH325" i="12"/>
  <c r="AH326" i="12"/>
  <c r="AH327" i="12"/>
  <c r="AH328" i="12"/>
  <c r="AH329" i="12"/>
  <c r="AH330" i="12"/>
  <c r="AH331" i="12"/>
  <c r="AH332" i="12"/>
  <c r="AH333" i="12"/>
  <c r="AH334" i="12"/>
  <c r="AH335" i="12"/>
  <c r="AH336" i="12"/>
  <c r="AH337" i="12"/>
  <c r="AH338" i="12"/>
  <c r="AH339" i="12"/>
  <c r="AH340" i="12"/>
  <c r="AH341" i="12"/>
  <c r="AH342" i="12"/>
  <c r="AH343" i="12"/>
  <c r="AH344" i="12"/>
  <c r="AH345" i="12"/>
  <c r="AH346" i="12"/>
  <c r="AH347" i="12"/>
  <c r="AH348" i="12"/>
  <c r="AH349" i="12"/>
  <c r="AH350" i="12"/>
  <c r="AH351" i="12"/>
  <c r="AH352" i="12"/>
  <c r="AH353" i="12"/>
  <c r="AH354" i="12"/>
  <c r="AH355" i="12"/>
  <c r="AH356" i="12"/>
  <c r="AH357" i="12"/>
  <c r="AH358" i="12"/>
  <c r="AH359" i="12"/>
  <c r="AH360" i="12"/>
  <c r="AH361" i="12"/>
  <c r="AH362" i="12"/>
  <c r="AH363" i="12"/>
  <c r="AH364" i="12"/>
  <c r="AH365" i="12"/>
  <c r="AH366" i="12"/>
  <c r="AH367" i="12"/>
  <c r="AH368" i="12"/>
  <c r="AH369" i="12"/>
  <c r="AH370" i="12"/>
  <c r="AH371" i="12"/>
  <c r="AH372" i="12"/>
  <c r="AH373" i="12"/>
  <c r="AH374" i="12"/>
  <c r="AH375" i="12"/>
  <c r="AH376" i="12"/>
  <c r="AH377" i="12"/>
  <c r="AH378" i="12"/>
  <c r="AH379" i="12"/>
  <c r="AH380" i="12"/>
  <c r="AH381" i="12"/>
  <c r="AH382" i="12"/>
  <c r="AH383" i="12"/>
  <c r="AH384" i="12"/>
  <c r="AH385" i="12"/>
  <c r="AH386" i="12"/>
  <c r="AH387" i="12"/>
  <c r="AH388" i="12"/>
  <c r="AH389" i="12"/>
  <c r="AH390" i="12"/>
  <c r="AH391" i="12"/>
  <c r="AH392" i="12"/>
  <c r="AH393" i="12"/>
  <c r="AH394" i="12"/>
  <c r="AH395" i="12"/>
  <c r="AH396" i="12"/>
  <c r="AH397" i="12"/>
  <c r="AH398" i="12"/>
  <c r="AH399" i="12"/>
  <c r="AH400" i="12"/>
  <c r="AH401" i="12"/>
  <c r="AH402" i="12"/>
  <c r="AH403" i="12"/>
  <c r="AH404" i="12"/>
  <c r="AH405" i="12"/>
  <c r="AH406" i="12"/>
  <c r="AH407" i="12"/>
  <c r="AH408" i="12"/>
  <c r="AH409" i="12"/>
  <c r="AH410" i="12"/>
  <c r="AH411" i="12"/>
  <c r="AH412" i="12"/>
  <c r="AH413" i="12"/>
  <c r="AH414" i="12"/>
  <c r="AH415" i="12"/>
  <c r="AH416" i="12"/>
  <c r="AH417" i="12"/>
  <c r="AH418" i="12"/>
  <c r="AH419" i="12"/>
  <c r="AH420" i="12"/>
  <c r="AH421" i="12"/>
  <c r="AH422" i="12"/>
  <c r="AH423" i="12"/>
  <c r="AH424" i="12"/>
  <c r="AH425" i="12"/>
  <c r="AH426" i="12"/>
  <c r="AH427" i="12"/>
  <c r="AH428" i="12"/>
  <c r="AH429" i="12"/>
  <c r="AH430" i="12"/>
  <c r="AH431" i="12"/>
  <c r="AH432" i="12"/>
  <c r="AH433" i="12"/>
  <c r="AH434" i="12"/>
  <c r="AH435" i="12"/>
  <c r="AH436" i="12"/>
  <c r="AH437" i="12"/>
  <c r="AH438" i="12"/>
  <c r="AH439" i="12"/>
  <c r="AH440" i="12"/>
  <c r="AH441" i="12"/>
  <c r="AH442" i="12"/>
  <c r="AH443" i="12"/>
  <c r="AH444" i="12"/>
  <c r="AH445" i="12"/>
  <c r="AH446" i="12"/>
  <c r="AH447" i="12"/>
  <c r="AH448" i="12"/>
  <c r="AH449" i="12"/>
  <c r="AH450" i="12"/>
  <c r="AH451" i="12"/>
  <c r="AH452" i="12"/>
  <c r="AH453" i="12"/>
  <c r="AH454" i="12"/>
  <c r="AH455" i="12"/>
  <c r="AH456" i="12"/>
  <c r="AH457" i="12"/>
  <c r="AH458" i="12"/>
  <c r="AH459" i="12"/>
  <c r="AH460" i="12"/>
  <c r="AH461" i="12"/>
  <c r="AH462" i="12"/>
  <c r="AH463" i="12"/>
  <c r="AH464" i="12"/>
  <c r="AH465" i="12"/>
  <c r="AH466" i="12"/>
  <c r="AH467" i="12"/>
  <c r="AH468" i="12"/>
  <c r="AH469" i="12"/>
  <c r="AH470" i="12"/>
  <c r="AH471" i="12"/>
  <c r="AH472" i="12"/>
  <c r="AH473" i="12"/>
  <c r="AH474" i="12"/>
  <c r="AH475" i="12"/>
  <c r="AH476" i="12"/>
  <c r="AH477" i="12"/>
  <c r="AH478" i="12"/>
  <c r="AH479" i="12"/>
  <c r="AH480" i="12"/>
  <c r="AH481" i="12"/>
  <c r="AH482" i="12"/>
  <c r="AH483" i="12"/>
  <c r="AH484" i="12"/>
  <c r="AH485" i="12"/>
  <c r="AH486" i="12"/>
  <c r="AH487" i="12"/>
  <c r="AH488" i="12"/>
  <c r="AH489" i="12"/>
  <c r="AH490" i="12"/>
  <c r="AH491" i="12"/>
  <c r="AH492" i="12"/>
  <c r="AH493" i="12"/>
  <c r="AH494" i="12"/>
  <c r="AH495" i="12"/>
  <c r="AH496" i="12"/>
  <c r="AH497" i="12"/>
  <c r="AH498" i="12"/>
  <c r="AH499" i="12"/>
  <c r="AH500" i="12"/>
  <c r="AH501" i="12"/>
  <c r="AH502" i="12"/>
  <c r="AH503" i="12"/>
  <c r="AH504" i="12"/>
  <c r="AH505" i="12"/>
  <c r="AH506" i="12"/>
  <c r="AH507" i="12"/>
  <c r="AH508" i="12"/>
  <c r="AH509" i="12"/>
  <c r="AH510" i="12"/>
  <c r="AH7" i="12"/>
  <c r="D207" i="15" l="1"/>
  <c r="C27" i="17"/>
  <c r="F27" i="14" s="1"/>
  <c r="AF115" i="2"/>
  <c r="F188" i="15"/>
  <c r="F207" i="15" s="1"/>
  <c r="AD115" i="2"/>
  <c r="E43" i="17"/>
  <c r="A8" i="12"/>
  <c r="A9" i="12"/>
  <c r="A10" i="12"/>
  <c r="A11" i="12"/>
  <c r="A12" i="12"/>
  <c r="A13" i="12"/>
  <c r="A14" i="12"/>
  <c r="A15" i="12"/>
  <c r="A16" i="12"/>
  <c r="A17" i="12"/>
  <c r="A18" i="12"/>
  <c r="A19" i="12"/>
  <c r="A20" i="12"/>
  <c r="A21" i="12"/>
  <c r="A22" i="12"/>
  <c r="A23" i="12"/>
  <c r="A24" i="12"/>
  <c r="A25" i="12"/>
  <c r="A26" i="12"/>
  <c r="A27" i="12"/>
  <c r="A28" i="12"/>
  <c r="A29" i="12"/>
  <c r="A30" i="12"/>
  <c r="A31" i="12"/>
  <c r="A32" i="12"/>
  <c r="A33" i="12"/>
  <c r="A34" i="12"/>
  <c r="A35" i="12"/>
  <c r="A36" i="12"/>
  <c r="A37" i="12"/>
  <c r="A38" i="12"/>
  <c r="A39" i="12"/>
  <c r="A40" i="12"/>
  <c r="A41" i="12"/>
  <c r="A42" i="12"/>
  <c r="A43" i="12"/>
  <c r="A44" i="12"/>
  <c r="A45" i="12"/>
  <c r="A46" i="12"/>
  <c r="A47" i="12"/>
  <c r="A48" i="12"/>
  <c r="A49" i="12"/>
  <c r="A50" i="12"/>
  <c r="A51" i="12"/>
  <c r="A52" i="12"/>
  <c r="A53" i="12"/>
  <c r="A54" i="12"/>
  <c r="A55" i="12"/>
  <c r="A56" i="12"/>
  <c r="A57" i="12"/>
  <c r="A58" i="12"/>
  <c r="A59" i="12"/>
  <c r="A60" i="12"/>
  <c r="A61" i="12"/>
  <c r="A62" i="12"/>
  <c r="A63" i="12"/>
  <c r="A64" i="12"/>
  <c r="A65" i="12"/>
  <c r="A66" i="12"/>
  <c r="A67" i="12"/>
  <c r="A68" i="12"/>
  <c r="A69" i="12"/>
  <c r="A70" i="12"/>
  <c r="A71" i="12"/>
  <c r="A72" i="12"/>
  <c r="A73" i="12"/>
  <c r="A74" i="12"/>
  <c r="A75" i="12"/>
  <c r="A76" i="12"/>
  <c r="A77" i="12"/>
  <c r="A78" i="12"/>
  <c r="A79" i="12"/>
  <c r="A80" i="12"/>
  <c r="A81" i="12"/>
  <c r="A82" i="12"/>
  <c r="A83" i="12"/>
  <c r="A84" i="12"/>
  <c r="A85" i="12"/>
  <c r="A86" i="12"/>
  <c r="A87" i="12"/>
  <c r="A88" i="12"/>
  <c r="A89" i="12"/>
  <c r="A90" i="12"/>
  <c r="A91" i="12"/>
  <c r="A92" i="12"/>
  <c r="A93" i="12"/>
  <c r="A94" i="12"/>
  <c r="A95" i="12"/>
  <c r="A96" i="12"/>
  <c r="A97" i="12"/>
  <c r="A98" i="12"/>
  <c r="A99" i="12"/>
  <c r="A100" i="12"/>
  <c r="A101" i="12"/>
  <c r="A102" i="12"/>
  <c r="A103" i="12"/>
  <c r="A104" i="12"/>
  <c r="A105" i="12"/>
  <c r="A106" i="12"/>
  <c r="A107" i="12"/>
  <c r="A108" i="12"/>
  <c r="A109" i="12"/>
  <c r="A110" i="12"/>
  <c r="A111" i="12"/>
  <c r="A112" i="12"/>
  <c r="A113" i="12"/>
  <c r="A114" i="12"/>
  <c r="A115" i="12"/>
  <c r="A116" i="12"/>
  <c r="A117" i="12"/>
  <c r="A118" i="12"/>
  <c r="A119" i="12"/>
  <c r="A120" i="12"/>
  <c r="A121" i="12"/>
  <c r="A122" i="12"/>
  <c r="A123" i="12"/>
  <c r="A124" i="12"/>
  <c r="A125" i="12"/>
  <c r="A126" i="12"/>
  <c r="A127" i="12"/>
  <c r="A128" i="12"/>
  <c r="A129" i="12"/>
  <c r="A130" i="12"/>
  <c r="A131" i="12"/>
  <c r="A132" i="12"/>
  <c r="A133" i="12"/>
  <c r="A134" i="12"/>
  <c r="A135" i="12"/>
  <c r="A136" i="12"/>
  <c r="A137" i="12"/>
  <c r="A138" i="12"/>
  <c r="A139" i="12"/>
  <c r="A140" i="12"/>
  <c r="A141" i="12"/>
  <c r="A142" i="12"/>
  <c r="A143" i="12"/>
  <c r="A144" i="12"/>
  <c r="A145" i="12"/>
  <c r="A146" i="12"/>
  <c r="A147" i="12"/>
  <c r="A148" i="12"/>
  <c r="A149" i="12"/>
  <c r="A150" i="12"/>
  <c r="A151" i="12"/>
  <c r="A152" i="12"/>
  <c r="A153" i="12"/>
  <c r="A154" i="12"/>
  <c r="A155" i="12"/>
  <c r="A156" i="12"/>
  <c r="A157" i="12"/>
  <c r="A158" i="12"/>
  <c r="A159" i="12"/>
  <c r="A160" i="12"/>
  <c r="A161" i="12"/>
  <c r="A162" i="12"/>
  <c r="A163" i="12"/>
  <c r="A164" i="12"/>
  <c r="A165" i="12"/>
  <c r="A166" i="12"/>
  <c r="A167" i="12"/>
  <c r="A168" i="12"/>
  <c r="A169" i="12"/>
  <c r="A170" i="12"/>
  <c r="A171" i="12"/>
  <c r="A172" i="12"/>
  <c r="A173" i="12"/>
  <c r="A174" i="12"/>
  <c r="A175" i="12"/>
  <c r="A176" i="12"/>
  <c r="A177" i="12"/>
  <c r="A178" i="12"/>
  <c r="A179" i="12"/>
  <c r="A180" i="12"/>
  <c r="A181" i="12"/>
  <c r="A182" i="12"/>
  <c r="A183" i="12"/>
  <c r="A184" i="12"/>
  <c r="A185" i="12"/>
  <c r="A186" i="12"/>
  <c r="A187" i="12"/>
  <c r="A188" i="12"/>
  <c r="A189" i="12"/>
  <c r="A190" i="12"/>
  <c r="A191" i="12"/>
  <c r="A192" i="12"/>
  <c r="A193" i="12"/>
  <c r="A194" i="12"/>
  <c r="A195" i="12"/>
  <c r="A196" i="12"/>
  <c r="A197" i="12"/>
  <c r="A198" i="12"/>
  <c r="A199" i="12"/>
  <c r="A200" i="12"/>
  <c r="A201" i="12"/>
  <c r="A202" i="12"/>
  <c r="A203" i="12"/>
  <c r="A204" i="12"/>
  <c r="A205" i="12"/>
  <c r="A206" i="12"/>
  <c r="A207" i="12"/>
  <c r="A208" i="12"/>
  <c r="A209" i="12"/>
  <c r="A210" i="12"/>
  <c r="A211" i="12"/>
  <c r="A212" i="12"/>
  <c r="A213" i="12"/>
  <c r="A214" i="12"/>
  <c r="A215" i="12"/>
  <c r="A216" i="12"/>
  <c r="A217" i="12"/>
  <c r="A218" i="12"/>
  <c r="A219" i="12"/>
  <c r="A220" i="12"/>
  <c r="A221" i="12"/>
  <c r="A222" i="12"/>
  <c r="A223" i="12"/>
  <c r="A224" i="12"/>
  <c r="A225" i="12"/>
  <c r="A226" i="12"/>
  <c r="A227" i="12"/>
  <c r="A228" i="12"/>
  <c r="A229" i="12"/>
  <c r="A230" i="12"/>
  <c r="A231" i="12"/>
  <c r="A232" i="12"/>
  <c r="A233" i="12"/>
  <c r="A234" i="12"/>
  <c r="A235" i="12"/>
  <c r="A236" i="12"/>
  <c r="A237" i="12"/>
  <c r="A238" i="12"/>
  <c r="A239" i="12"/>
  <c r="A240" i="12"/>
  <c r="A241" i="12"/>
  <c r="A242" i="12"/>
  <c r="A243" i="12"/>
  <c r="A244" i="12"/>
  <c r="A245" i="12"/>
  <c r="A246" i="12"/>
  <c r="A247" i="12"/>
  <c r="A248" i="12"/>
  <c r="A249" i="12"/>
  <c r="A250" i="12"/>
  <c r="A251" i="12"/>
  <c r="A252" i="12"/>
  <c r="A253" i="12"/>
  <c r="A254" i="12"/>
  <c r="A255" i="12"/>
  <c r="A256" i="12"/>
  <c r="A257" i="12"/>
  <c r="A258" i="12"/>
  <c r="A259" i="12"/>
  <c r="A260" i="12"/>
  <c r="A261" i="12"/>
  <c r="A262" i="12"/>
  <c r="A263" i="12"/>
  <c r="A264" i="12"/>
  <c r="A265" i="12"/>
  <c r="A266" i="12"/>
  <c r="A267" i="12"/>
  <c r="A268" i="12"/>
  <c r="A269" i="12"/>
  <c r="A270" i="12"/>
  <c r="A271" i="12"/>
  <c r="A272" i="12"/>
  <c r="A273" i="12"/>
  <c r="A274" i="12"/>
  <c r="A275" i="12"/>
  <c r="A276" i="12"/>
  <c r="A277" i="12"/>
  <c r="A278" i="12"/>
  <c r="A279" i="12"/>
  <c r="A280" i="12"/>
  <c r="A281" i="12"/>
  <c r="A282" i="12"/>
  <c r="A283" i="12"/>
  <c r="A284" i="12"/>
  <c r="A285" i="12"/>
  <c r="A286" i="12"/>
  <c r="A287" i="12"/>
  <c r="A288" i="12"/>
  <c r="A289" i="12"/>
  <c r="A290" i="12"/>
  <c r="A291" i="12"/>
  <c r="A292" i="12"/>
  <c r="A293" i="12"/>
  <c r="A294" i="12"/>
  <c r="A295" i="12"/>
  <c r="A296" i="12"/>
  <c r="A297" i="12"/>
  <c r="A298" i="12"/>
  <c r="A299" i="12"/>
  <c r="A300" i="12"/>
  <c r="A301" i="12"/>
  <c r="A302" i="12"/>
  <c r="A303" i="12"/>
  <c r="A304" i="12"/>
  <c r="A305" i="12"/>
  <c r="A306" i="12"/>
  <c r="A307" i="12"/>
  <c r="A308" i="12"/>
  <c r="A309" i="12"/>
  <c r="A310" i="12"/>
  <c r="A311" i="12"/>
  <c r="A312" i="12"/>
  <c r="A313" i="12"/>
  <c r="A314" i="12"/>
  <c r="A315" i="12"/>
  <c r="A316" i="12"/>
  <c r="A317" i="12"/>
  <c r="A318" i="12"/>
  <c r="A319" i="12"/>
  <c r="A320" i="12"/>
  <c r="A321" i="12"/>
  <c r="A322" i="12"/>
  <c r="A323" i="12"/>
  <c r="A324" i="12"/>
  <c r="A325" i="12"/>
  <c r="A326" i="12"/>
  <c r="A327" i="12"/>
  <c r="A328" i="12"/>
  <c r="A329" i="12"/>
  <c r="A330" i="12"/>
  <c r="A331" i="12"/>
  <c r="A332" i="12"/>
  <c r="A333" i="12"/>
  <c r="A334" i="12"/>
  <c r="A335" i="12"/>
  <c r="A336" i="12"/>
  <c r="A337" i="12"/>
  <c r="A338" i="12"/>
  <c r="A339" i="12"/>
  <c r="A340" i="12"/>
  <c r="A341" i="12"/>
  <c r="A342" i="12"/>
  <c r="A343" i="12"/>
  <c r="A344" i="12"/>
  <c r="A345" i="12"/>
  <c r="A346" i="12"/>
  <c r="A347" i="12"/>
  <c r="A348" i="12"/>
  <c r="A349" i="12"/>
  <c r="A350" i="12"/>
  <c r="A351" i="12"/>
  <c r="A352" i="12"/>
  <c r="A353" i="12"/>
  <c r="A354" i="12"/>
  <c r="A355" i="12"/>
  <c r="A356" i="12"/>
  <c r="A357" i="12"/>
  <c r="A358" i="12"/>
  <c r="A359" i="12"/>
  <c r="A360" i="12"/>
  <c r="A361" i="12"/>
  <c r="A362" i="12"/>
  <c r="A363" i="12"/>
  <c r="A364" i="12"/>
  <c r="A365" i="12"/>
  <c r="A366" i="12"/>
  <c r="A367" i="12"/>
  <c r="A368" i="12"/>
  <c r="A369" i="12"/>
  <c r="A370" i="12"/>
  <c r="A371" i="12"/>
  <c r="A372" i="12"/>
  <c r="A373" i="12"/>
  <c r="A374" i="12"/>
  <c r="A375" i="12"/>
  <c r="A376" i="12"/>
  <c r="A377" i="12"/>
  <c r="A378" i="12"/>
  <c r="A379" i="12"/>
  <c r="A380" i="12"/>
  <c r="A381" i="12"/>
  <c r="A382" i="12"/>
  <c r="A383" i="12"/>
  <c r="A384" i="12"/>
  <c r="A385" i="12"/>
  <c r="A386" i="12"/>
  <c r="A387" i="12"/>
  <c r="A388" i="12"/>
  <c r="A389" i="12"/>
  <c r="A390" i="12"/>
  <c r="A391" i="12"/>
  <c r="A392" i="12"/>
  <c r="A393" i="12"/>
  <c r="A394" i="12"/>
  <c r="A395" i="12"/>
  <c r="A396" i="12"/>
  <c r="A397" i="12"/>
  <c r="A398" i="12"/>
  <c r="A399" i="12"/>
  <c r="A400" i="12"/>
  <c r="A401" i="12"/>
  <c r="A402" i="12"/>
  <c r="A403" i="12"/>
  <c r="A404" i="12"/>
  <c r="A405" i="12"/>
  <c r="A406" i="12"/>
  <c r="A407" i="12"/>
  <c r="A408" i="12"/>
  <c r="A409" i="12"/>
  <c r="A410" i="12"/>
  <c r="A411" i="12"/>
  <c r="A412" i="12"/>
  <c r="A413" i="12"/>
  <c r="A414" i="12"/>
  <c r="A415" i="12"/>
  <c r="A416" i="12"/>
  <c r="A417" i="12"/>
  <c r="A418" i="12"/>
  <c r="A419" i="12"/>
  <c r="A420" i="12"/>
  <c r="A421" i="12"/>
  <c r="A422" i="12"/>
  <c r="A423" i="12"/>
  <c r="A424" i="12"/>
  <c r="A425" i="12"/>
  <c r="A426" i="12"/>
  <c r="A427" i="12"/>
  <c r="A428" i="12"/>
  <c r="A429" i="12"/>
  <c r="A430" i="12"/>
  <c r="A431" i="12"/>
  <c r="A432" i="12"/>
  <c r="A433" i="12"/>
  <c r="A434" i="12"/>
  <c r="A435" i="12"/>
  <c r="A436" i="12"/>
  <c r="A437" i="12"/>
  <c r="A438" i="12"/>
  <c r="A439" i="12"/>
  <c r="A440" i="12"/>
  <c r="A441" i="12"/>
  <c r="A442" i="12"/>
  <c r="A443" i="12"/>
  <c r="A444" i="12"/>
  <c r="A445" i="12"/>
  <c r="A446" i="12"/>
  <c r="A447" i="12"/>
  <c r="A448" i="12"/>
  <c r="A449" i="12"/>
  <c r="A450" i="12"/>
  <c r="A451" i="12"/>
  <c r="A452" i="12"/>
  <c r="A453" i="12"/>
  <c r="A454" i="12"/>
  <c r="A455" i="12"/>
  <c r="A456" i="12"/>
  <c r="A457" i="12"/>
  <c r="A458" i="12"/>
  <c r="A459" i="12"/>
  <c r="A460" i="12"/>
  <c r="A461" i="12"/>
  <c r="A462" i="12"/>
  <c r="A463" i="12"/>
  <c r="A464" i="12"/>
  <c r="A465" i="12"/>
  <c r="A466" i="12"/>
  <c r="A467" i="12"/>
  <c r="A468" i="12"/>
  <c r="A469" i="12"/>
  <c r="A470" i="12"/>
  <c r="A471" i="12"/>
  <c r="A472" i="12"/>
  <c r="A473" i="12"/>
  <c r="A474" i="12"/>
  <c r="A475" i="12"/>
  <c r="A476" i="12"/>
  <c r="A477" i="12"/>
  <c r="A478" i="12"/>
  <c r="A479" i="12"/>
  <c r="A480" i="12"/>
  <c r="A481" i="12"/>
  <c r="A482" i="12"/>
  <c r="A483" i="12"/>
  <c r="A484" i="12"/>
  <c r="A485" i="12"/>
  <c r="A486" i="12"/>
  <c r="A487" i="12"/>
  <c r="A488" i="12"/>
  <c r="A489" i="12"/>
  <c r="A490" i="12"/>
  <c r="A491" i="12"/>
  <c r="A492" i="12"/>
  <c r="A493" i="12"/>
  <c r="A494" i="12"/>
  <c r="A495" i="12"/>
  <c r="A496" i="12"/>
  <c r="A497" i="12"/>
  <c r="A498" i="12"/>
  <c r="A499" i="12"/>
  <c r="A500" i="12"/>
  <c r="A501" i="12"/>
  <c r="A502" i="12"/>
  <c r="A503" i="12"/>
  <c r="A504" i="12"/>
  <c r="A505" i="12"/>
  <c r="A506" i="12"/>
  <c r="A507" i="12"/>
  <c r="A508" i="12"/>
  <c r="A509" i="12"/>
  <c r="A510" i="12"/>
  <c r="F43" i="17" l="1"/>
  <c r="A7" i="12"/>
  <c r="AI7" i="8"/>
  <c r="AI8" i="8"/>
  <c r="AI9" i="8"/>
  <c r="AI10" i="8"/>
  <c r="AI11" i="8"/>
  <c r="AI12" i="8"/>
  <c r="AI13" i="8"/>
  <c r="AI14" i="8"/>
  <c r="AI15" i="8"/>
  <c r="AI16" i="8"/>
  <c r="AI17" i="8"/>
  <c r="AI18" i="8"/>
  <c r="AI19" i="8"/>
  <c r="AI20" i="8"/>
  <c r="AI21" i="8"/>
  <c r="AI22" i="8"/>
  <c r="AI23" i="8"/>
  <c r="AI24" i="8"/>
  <c r="AI25" i="8"/>
  <c r="AI26" i="8"/>
  <c r="AI27" i="8"/>
  <c r="AI28" i="8"/>
  <c r="AI29" i="8"/>
  <c r="AI30" i="8"/>
  <c r="AI31" i="8"/>
  <c r="AI32" i="8"/>
  <c r="AI33" i="8"/>
  <c r="AI34" i="8"/>
  <c r="AI35" i="8"/>
  <c r="AI36" i="8"/>
  <c r="AI37" i="8"/>
  <c r="AI38" i="8"/>
  <c r="AI39" i="8"/>
  <c r="AI40" i="8"/>
  <c r="AI41" i="8"/>
  <c r="AI42" i="8"/>
  <c r="AI43" i="8"/>
  <c r="AI44" i="8"/>
  <c r="AI45" i="8"/>
  <c r="AI46" i="8"/>
  <c r="AI47" i="8"/>
  <c r="AI48" i="8"/>
  <c r="AI49" i="8"/>
  <c r="AI50" i="8"/>
  <c r="AI51" i="8"/>
  <c r="AI52" i="8"/>
  <c r="AI53" i="8"/>
  <c r="AI54" i="8"/>
  <c r="AI55" i="8"/>
  <c r="AI56" i="8"/>
  <c r="AI57" i="8"/>
  <c r="AI58" i="8"/>
  <c r="AI59" i="8"/>
  <c r="AI60" i="8"/>
  <c r="AI61" i="8"/>
  <c r="AI62" i="8"/>
  <c r="AI63" i="8"/>
  <c r="AI64" i="8"/>
  <c r="AI65" i="8"/>
  <c r="AI66" i="8"/>
  <c r="AI67" i="8"/>
  <c r="AI68" i="8"/>
  <c r="AI69" i="8"/>
  <c r="AI70" i="8"/>
  <c r="AI71" i="8"/>
  <c r="AI72" i="8"/>
  <c r="AI73" i="8"/>
  <c r="AI74" i="8"/>
  <c r="AI75" i="8"/>
  <c r="AI76" i="8"/>
  <c r="AI77" i="8"/>
  <c r="AI78" i="8"/>
  <c r="AI79" i="8"/>
  <c r="AI80" i="8"/>
  <c r="AI81" i="8"/>
  <c r="AI82" i="8"/>
  <c r="AI83" i="8"/>
  <c r="AI84" i="8"/>
  <c r="AI85" i="8"/>
  <c r="AI86" i="8"/>
  <c r="AI87" i="8"/>
  <c r="AI88" i="8"/>
  <c r="AI89" i="8"/>
  <c r="AI90" i="8"/>
  <c r="AI91" i="8"/>
  <c r="AI92" i="8"/>
  <c r="AI93" i="8"/>
  <c r="AI94" i="8"/>
  <c r="AI95" i="8"/>
  <c r="AI96" i="8"/>
  <c r="AI97" i="8"/>
  <c r="AI98" i="8"/>
  <c r="AI99" i="8"/>
  <c r="AI100" i="8"/>
  <c r="AI101" i="8"/>
  <c r="AI102" i="8"/>
  <c r="AI103" i="8"/>
  <c r="AI104" i="8"/>
  <c r="AI105" i="8"/>
  <c r="AI106" i="8"/>
  <c r="AI107" i="8"/>
  <c r="AI108" i="8"/>
  <c r="AI109" i="8"/>
  <c r="AI110" i="8"/>
  <c r="AI111" i="8"/>
  <c r="AI112" i="8"/>
  <c r="AI113" i="8"/>
  <c r="AI114" i="8"/>
  <c r="AI115" i="8"/>
  <c r="AI116" i="8"/>
  <c r="AI117" i="8"/>
  <c r="AI118" i="8"/>
  <c r="AI119" i="8"/>
  <c r="AI120" i="8"/>
  <c r="AI121" i="8"/>
  <c r="AI122" i="8"/>
  <c r="AI123" i="8"/>
  <c r="AI124" i="8"/>
  <c r="AI125" i="8"/>
  <c r="AI126" i="8"/>
  <c r="AI127" i="8"/>
  <c r="AI128" i="8"/>
  <c r="AI129" i="8"/>
  <c r="AI130" i="8"/>
  <c r="AI131" i="8"/>
  <c r="AI132" i="8"/>
  <c r="AI133" i="8"/>
  <c r="AI134" i="8"/>
  <c r="AI135" i="8"/>
  <c r="AI136" i="8"/>
  <c r="AI137" i="8"/>
  <c r="AI138" i="8"/>
  <c r="AI139" i="8"/>
  <c r="AI140" i="8"/>
  <c r="AI141" i="8"/>
  <c r="AI142" i="8"/>
  <c r="AI143" i="8"/>
  <c r="AI144" i="8"/>
  <c r="AI145" i="8"/>
  <c r="AI146" i="8"/>
  <c r="AI147" i="8"/>
  <c r="AI148" i="8"/>
  <c r="AI149" i="8"/>
  <c r="AI150" i="8"/>
  <c r="AI151" i="8"/>
  <c r="AI152" i="8"/>
  <c r="AI153" i="8"/>
  <c r="AI154" i="8"/>
  <c r="AI155" i="8"/>
  <c r="AI156" i="8"/>
  <c r="AI157" i="8"/>
  <c r="AI158" i="8"/>
  <c r="AI159" i="8"/>
  <c r="AI160" i="8"/>
  <c r="AI161" i="8"/>
  <c r="AI162" i="8"/>
  <c r="AI163" i="8"/>
  <c r="AI164" i="8"/>
  <c r="AI165" i="8"/>
  <c r="AI166" i="8"/>
  <c r="AI167" i="8"/>
  <c r="AI168" i="8"/>
  <c r="AI169" i="8"/>
  <c r="AI170" i="8"/>
  <c r="AI171" i="8"/>
  <c r="AI172" i="8"/>
  <c r="AI173" i="8"/>
  <c r="AI174" i="8"/>
  <c r="AI175" i="8"/>
  <c r="AI176" i="8"/>
  <c r="AI177" i="8"/>
  <c r="AI178" i="8"/>
  <c r="AI179" i="8"/>
  <c r="AI180" i="8"/>
  <c r="AI181" i="8"/>
  <c r="AI182" i="8"/>
  <c r="AI183" i="8"/>
  <c r="AI184" i="8"/>
  <c r="AI185" i="8"/>
  <c r="AI186" i="8"/>
  <c r="AI187" i="8"/>
  <c r="AI188" i="8"/>
  <c r="AI189" i="8"/>
  <c r="AI190" i="8"/>
  <c r="AI191" i="8"/>
  <c r="AI192" i="8"/>
  <c r="AI193" i="8"/>
  <c r="AI194" i="8"/>
  <c r="AI195" i="8"/>
  <c r="AI196" i="8"/>
  <c r="AI197" i="8"/>
  <c r="AI198" i="8"/>
  <c r="AI199" i="8"/>
  <c r="AI200" i="8"/>
  <c r="AI201" i="8"/>
  <c r="AI202" i="8"/>
  <c r="AI203" i="8"/>
  <c r="AI204" i="8"/>
  <c r="AI205" i="8"/>
  <c r="AI206" i="8"/>
  <c r="AI207" i="8"/>
  <c r="AI208" i="8"/>
  <c r="AI209" i="8"/>
  <c r="AI210" i="8"/>
  <c r="AI211" i="8"/>
  <c r="AI212" i="8"/>
  <c r="AI213" i="8"/>
  <c r="AI214" i="8"/>
  <c r="AI215" i="8"/>
  <c r="AI216" i="8"/>
  <c r="AI217" i="8"/>
  <c r="AI218" i="8"/>
  <c r="AI219" i="8"/>
  <c r="AI220" i="8"/>
  <c r="AI221" i="8"/>
  <c r="AI222" i="8"/>
  <c r="AI223" i="8"/>
  <c r="AI224" i="8"/>
  <c r="AI225" i="8"/>
  <c r="AI226" i="8"/>
  <c r="AI227" i="8"/>
  <c r="AI228" i="8"/>
  <c r="AI229" i="8"/>
  <c r="AI230" i="8"/>
  <c r="AI231" i="8"/>
  <c r="AI232" i="8"/>
  <c r="AI233" i="8"/>
  <c r="AI234" i="8"/>
  <c r="AI235" i="8"/>
  <c r="AI236" i="8"/>
  <c r="AI237" i="8"/>
  <c r="AI238" i="8"/>
  <c r="AI239" i="8"/>
  <c r="AI240" i="8"/>
  <c r="AI241" i="8"/>
  <c r="AI242" i="8"/>
  <c r="AI243" i="8"/>
  <c r="AI244" i="8"/>
  <c r="AI245" i="8"/>
  <c r="AI246" i="8"/>
  <c r="AI247" i="8"/>
  <c r="AI248" i="8"/>
  <c r="AI249" i="8"/>
  <c r="AI250" i="8"/>
  <c r="AI251" i="8"/>
  <c r="AI252" i="8"/>
  <c r="AI253" i="8"/>
  <c r="AI254" i="8"/>
  <c r="AI255" i="8"/>
  <c r="AI256" i="8"/>
  <c r="AI257" i="8"/>
  <c r="AI258" i="8"/>
  <c r="AI259" i="8"/>
  <c r="AI260" i="8"/>
  <c r="AI261" i="8"/>
  <c r="AI262" i="8"/>
  <c r="AI263" i="8"/>
  <c r="AI264" i="8"/>
  <c r="AI265" i="8"/>
  <c r="AI266" i="8"/>
  <c r="AI267" i="8"/>
  <c r="AI268" i="8"/>
  <c r="AI269" i="8"/>
  <c r="AI270" i="8"/>
  <c r="AI271" i="8"/>
  <c r="AI272" i="8"/>
  <c r="AI273" i="8"/>
  <c r="AI274" i="8"/>
  <c r="AI275" i="8"/>
  <c r="AI276" i="8"/>
  <c r="AI277" i="8"/>
  <c r="AI278" i="8"/>
  <c r="AI279" i="8"/>
  <c r="AI280" i="8"/>
  <c r="AI281" i="8"/>
  <c r="AI282" i="8"/>
  <c r="AI283" i="8"/>
  <c r="AI284" i="8"/>
  <c r="AI285" i="8"/>
  <c r="AI286" i="8"/>
  <c r="AI287" i="8"/>
  <c r="AI288" i="8"/>
  <c r="AI289" i="8"/>
  <c r="AI290" i="8"/>
  <c r="AI291" i="8"/>
  <c r="AI292" i="8"/>
  <c r="AI293" i="8"/>
  <c r="AI294" i="8"/>
  <c r="AI295" i="8"/>
  <c r="AI296" i="8"/>
  <c r="AI297" i="8"/>
  <c r="AI298" i="8"/>
  <c r="AI299" i="8"/>
  <c r="AI300" i="8"/>
  <c r="AI301" i="8"/>
  <c r="AI302" i="8"/>
  <c r="AI303" i="8"/>
  <c r="AI304" i="8"/>
  <c r="AI305" i="8"/>
  <c r="AI306" i="8"/>
  <c r="AI307" i="8"/>
  <c r="AI308" i="8"/>
  <c r="AI309" i="8"/>
  <c r="AI310" i="8"/>
  <c r="AI311" i="8"/>
  <c r="AI312" i="8"/>
  <c r="AI313" i="8"/>
  <c r="AI314" i="8"/>
  <c r="AI315" i="8"/>
  <c r="AI316" i="8"/>
  <c r="AI317" i="8"/>
  <c r="AI318" i="8"/>
  <c r="AI319" i="8"/>
  <c r="AI320" i="8"/>
  <c r="AI321" i="8"/>
  <c r="AI322" i="8"/>
  <c r="AI323" i="8"/>
  <c r="AI324" i="8"/>
  <c r="AI325" i="8"/>
  <c r="AI326" i="8"/>
  <c r="AI327" i="8"/>
  <c r="AI328" i="8"/>
  <c r="AI329" i="8"/>
  <c r="AI330" i="8"/>
  <c r="AI331" i="8"/>
  <c r="AI332" i="8"/>
  <c r="AI333" i="8"/>
  <c r="AI334" i="8"/>
  <c r="AI335" i="8"/>
  <c r="AI336" i="8"/>
  <c r="AI337" i="8"/>
  <c r="AI338" i="8"/>
  <c r="AI339" i="8"/>
  <c r="AI340" i="8"/>
  <c r="AI341" i="8"/>
  <c r="AI342" i="8"/>
  <c r="AI343" i="8"/>
  <c r="AI344" i="8"/>
  <c r="AI345" i="8"/>
  <c r="AI346" i="8"/>
  <c r="AI347" i="8"/>
  <c r="AI348" i="8"/>
  <c r="AI349" i="8"/>
  <c r="AI350" i="8"/>
  <c r="AI351" i="8"/>
  <c r="AI352" i="8"/>
  <c r="AI353" i="8"/>
  <c r="AI354" i="8"/>
  <c r="AI355" i="8"/>
  <c r="AI356" i="8"/>
  <c r="AI357" i="8"/>
  <c r="AI358" i="8"/>
  <c r="AI359" i="8"/>
  <c r="AI360" i="8"/>
  <c r="AI361" i="8"/>
  <c r="AI362" i="8"/>
  <c r="AI363" i="8"/>
  <c r="AI364" i="8"/>
  <c r="AI365" i="8"/>
  <c r="AI366" i="8"/>
  <c r="AI367" i="8"/>
  <c r="AI368" i="8"/>
  <c r="AI369" i="8"/>
  <c r="AI370" i="8"/>
  <c r="AI371" i="8"/>
  <c r="AI372" i="8"/>
  <c r="AI373" i="8"/>
  <c r="AI374" i="8"/>
  <c r="AI375" i="8"/>
  <c r="AI376" i="8"/>
  <c r="AI377" i="8"/>
  <c r="AI378" i="8"/>
  <c r="AI379" i="8"/>
  <c r="AI380" i="8"/>
  <c r="AI381" i="8"/>
  <c r="AI382" i="8"/>
  <c r="AI383" i="8"/>
  <c r="AI384" i="8"/>
  <c r="AI385" i="8"/>
  <c r="AI386" i="8"/>
  <c r="AI387" i="8"/>
  <c r="AI388" i="8"/>
  <c r="AI389" i="8"/>
  <c r="AI390" i="8"/>
  <c r="AI391" i="8"/>
  <c r="AI392" i="8"/>
  <c r="AI393" i="8"/>
  <c r="AI394" i="8"/>
  <c r="AI395" i="8"/>
  <c r="AI396" i="8"/>
  <c r="AI397" i="8"/>
  <c r="AI398" i="8"/>
  <c r="AI399" i="8"/>
  <c r="AI400" i="8"/>
  <c r="AI401" i="8"/>
  <c r="AI402" i="8"/>
  <c r="AI403" i="8"/>
  <c r="AI404" i="8"/>
  <c r="AI405" i="8"/>
  <c r="AI406" i="8"/>
  <c r="AI407" i="8"/>
  <c r="AI408" i="8"/>
  <c r="AI409" i="8"/>
  <c r="AI410" i="8"/>
  <c r="AI411" i="8"/>
  <c r="AI412" i="8"/>
  <c r="AI413" i="8"/>
  <c r="AI414" i="8"/>
  <c r="AI415" i="8"/>
  <c r="AI416" i="8"/>
  <c r="AI417" i="8"/>
  <c r="AI418" i="8"/>
  <c r="AI419" i="8"/>
  <c r="AI420" i="8"/>
  <c r="AI421" i="8"/>
  <c r="AI422" i="8"/>
  <c r="AI423" i="8"/>
  <c r="AI424" i="8"/>
  <c r="AI425" i="8"/>
  <c r="AI426" i="8"/>
  <c r="AI427" i="8"/>
  <c r="AI428" i="8"/>
  <c r="AI429" i="8"/>
  <c r="AI430" i="8"/>
  <c r="AI431" i="8"/>
  <c r="AI432" i="8"/>
  <c r="AI433" i="8"/>
  <c r="AI434" i="8"/>
  <c r="AI435" i="8"/>
  <c r="AI436" i="8"/>
  <c r="AI437" i="8"/>
  <c r="AI438" i="8"/>
  <c r="AI439" i="8"/>
  <c r="AI440" i="8"/>
  <c r="AI441" i="8"/>
  <c r="AI442" i="8"/>
  <c r="AI443" i="8"/>
  <c r="AI444" i="8"/>
  <c r="AI445" i="8"/>
  <c r="AI446" i="8"/>
  <c r="AI447" i="8"/>
  <c r="AI448" i="8"/>
  <c r="AI449" i="8"/>
  <c r="AI450" i="8"/>
  <c r="AI451" i="8"/>
  <c r="AI452" i="8"/>
  <c r="AI453" i="8"/>
  <c r="AI454" i="8"/>
  <c r="AI455" i="8"/>
  <c r="AI456" i="8"/>
  <c r="AI457" i="8"/>
  <c r="AI458" i="8"/>
  <c r="AI459" i="8"/>
  <c r="AI460" i="8"/>
  <c r="AI461" i="8"/>
  <c r="AI462" i="8"/>
  <c r="AI463" i="8"/>
  <c r="AI464" i="8"/>
  <c r="AI465" i="8"/>
  <c r="AI466" i="8"/>
  <c r="AI467" i="8"/>
  <c r="AI468" i="8"/>
  <c r="AI469" i="8"/>
  <c r="AI470" i="8"/>
  <c r="AI471" i="8"/>
  <c r="AI472" i="8"/>
  <c r="AI473" i="8"/>
  <c r="AI474" i="8"/>
  <c r="AI475" i="8"/>
  <c r="AI476" i="8"/>
  <c r="AI477" i="8"/>
  <c r="AI478" i="8"/>
  <c r="AI479" i="8"/>
  <c r="AI480" i="8"/>
  <c r="AI481" i="8"/>
  <c r="AI482" i="8"/>
  <c r="AI483" i="8"/>
  <c r="AI484" i="8"/>
  <c r="AI485" i="8"/>
  <c r="AI486" i="8"/>
  <c r="AI487" i="8"/>
  <c r="AI488" i="8"/>
  <c r="AI489" i="8"/>
  <c r="AI490" i="8"/>
  <c r="AI491" i="8"/>
  <c r="AI492" i="8"/>
  <c r="AI493" i="8"/>
  <c r="AI494" i="8"/>
  <c r="AI495" i="8"/>
  <c r="AI496" i="8"/>
  <c r="AI497" i="8"/>
  <c r="AI498" i="8"/>
  <c r="AI499" i="8"/>
  <c r="AI500" i="8"/>
  <c r="AI501" i="8"/>
  <c r="AI502" i="8"/>
  <c r="AI503" i="8"/>
  <c r="AI504" i="8"/>
  <c r="AI505" i="8"/>
  <c r="AI506" i="8"/>
  <c r="AI507" i="8"/>
  <c r="AI508" i="8"/>
  <c r="AI509" i="8"/>
  <c r="AI510" i="8"/>
  <c r="C16" i="1" l="1"/>
  <c r="L8" i="3" l="1"/>
  <c r="L9" i="3"/>
  <c r="L10" i="3"/>
  <c r="L11" i="3"/>
  <c r="L12" i="3"/>
  <c r="L13" i="3"/>
  <c r="L14" i="3"/>
  <c r="L15" i="3"/>
  <c r="L16" i="3"/>
  <c r="L17" i="3"/>
  <c r="L18" i="3"/>
  <c r="L19" i="3"/>
  <c r="L20" i="3"/>
  <c r="L21" i="3"/>
  <c r="L22" i="3"/>
  <c r="L23" i="3"/>
  <c r="L24" i="3"/>
  <c r="L25" i="3"/>
  <c r="L26" i="3"/>
  <c r="L27" i="3"/>
  <c r="L28" i="3"/>
  <c r="L29" i="3"/>
  <c r="L30" i="3"/>
  <c r="L31" i="3"/>
  <c r="L32" i="3"/>
  <c r="L33" i="3"/>
  <c r="L34" i="3"/>
  <c r="L35" i="3"/>
  <c r="L36" i="3"/>
  <c r="L37" i="3"/>
  <c r="L38" i="3"/>
  <c r="L39" i="3"/>
  <c r="L40" i="3"/>
  <c r="L41" i="3"/>
  <c r="L42" i="3"/>
  <c r="L43" i="3"/>
  <c r="L44" i="3"/>
  <c r="L45" i="3"/>
  <c r="L46" i="3"/>
  <c r="L47" i="3"/>
  <c r="C152" i="15" l="1"/>
  <c r="H48" i="3" l="1"/>
  <c r="G109" i="6" l="1"/>
  <c r="D112" i="16" l="1"/>
  <c r="H65" i="15" l="1"/>
  <c r="D126" i="16"/>
  <c r="G126" i="16"/>
  <c r="H126" i="16" s="1"/>
  <c r="I126" i="16"/>
  <c r="D127" i="16"/>
  <c r="G127" i="16"/>
  <c r="H127" i="16" s="1"/>
  <c r="I127" i="16"/>
  <c r="G112" i="16"/>
  <c r="H112" i="16" s="1"/>
  <c r="I112" i="16"/>
  <c r="A19" i="8" l="1"/>
  <c r="I98" i="16" l="1"/>
  <c r="I99" i="16"/>
  <c r="I100" i="16"/>
  <c r="I101" i="16"/>
  <c r="I102" i="16"/>
  <c r="I103" i="16"/>
  <c r="I104" i="16"/>
  <c r="I105" i="16"/>
  <c r="I106" i="16"/>
  <c r="I107" i="16"/>
  <c r="I108" i="16"/>
  <c r="I109" i="16"/>
  <c r="I110" i="16"/>
  <c r="I111" i="16"/>
  <c r="I113" i="16"/>
  <c r="I114" i="16"/>
  <c r="I115" i="16"/>
  <c r="I116" i="16"/>
  <c r="I117" i="16"/>
  <c r="I118" i="16"/>
  <c r="I119" i="16"/>
  <c r="I120" i="16"/>
  <c r="I121" i="16"/>
  <c r="I122" i="16"/>
  <c r="I123" i="16"/>
  <c r="I124" i="16"/>
  <c r="I125" i="16"/>
  <c r="I128" i="16"/>
  <c r="I129" i="16"/>
  <c r="I130" i="16"/>
  <c r="I131" i="16"/>
  <c r="I97" i="16"/>
  <c r="I19" i="16"/>
  <c r="I20" i="16"/>
  <c r="I21" i="16"/>
  <c r="I22" i="16"/>
  <c r="I23" i="16"/>
  <c r="I24" i="16"/>
  <c r="I25" i="16"/>
  <c r="I26" i="16"/>
  <c r="I27" i="16"/>
  <c r="I28" i="16"/>
  <c r="I29" i="16"/>
  <c r="I30" i="16"/>
  <c r="I31" i="16"/>
  <c r="I32" i="16"/>
  <c r="I33" i="16"/>
  <c r="I34" i="16"/>
  <c r="I35" i="16"/>
  <c r="I36" i="16"/>
  <c r="I37" i="16"/>
  <c r="I38" i="16"/>
  <c r="I39" i="16"/>
  <c r="I40" i="16"/>
  <c r="I41" i="16"/>
  <c r="I42" i="16"/>
  <c r="I43" i="16"/>
  <c r="I44" i="16"/>
  <c r="I45" i="16"/>
  <c r="I46" i="16"/>
  <c r="I47" i="16"/>
  <c r="I48" i="16"/>
  <c r="I49" i="16"/>
  <c r="I50" i="16"/>
  <c r="I51" i="16"/>
  <c r="I52" i="16"/>
  <c r="I53" i="16"/>
  <c r="I54" i="16"/>
  <c r="I55" i="16"/>
  <c r="I56" i="16"/>
  <c r="I57" i="16"/>
  <c r="I58" i="16"/>
  <c r="I59" i="16"/>
  <c r="I60" i="16"/>
  <c r="I61" i="16"/>
  <c r="I62" i="16"/>
  <c r="I63" i="16"/>
  <c r="I64" i="16"/>
  <c r="I65" i="16"/>
  <c r="I66" i="16"/>
  <c r="I67" i="16"/>
  <c r="I68" i="16"/>
  <c r="I69" i="16"/>
  <c r="I70" i="16"/>
  <c r="I71" i="16"/>
  <c r="I72" i="16"/>
  <c r="I73" i="16"/>
  <c r="I74" i="16"/>
  <c r="I75" i="16"/>
  <c r="I76" i="16"/>
  <c r="I77" i="16"/>
  <c r="I78" i="16"/>
  <c r="I79" i="16"/>
  <c r="I80" i="16"/>
  <c r="I81" i="16"/>
  <c r="I82" i="16"/>
  <c r="I83" i="16"/>
  <c r="I84" i="16"/>
  <c r="I85" i="16"/>
  <c r="I86" i="16"/>
  <c r="I87" i="16"/>
  <c r="I88" i="16"/>
  <c r="I89" i="16"/>
  <c r="I90" i="16"/>
  <c r="I91" i="16"/>
  <c r="I92" i="16"/>
  <c r="I93" i="16"/>
  <c r="I94" i="16"/>
  <c r="I95" i="16"/>
  <c r="I96" i="16"/>
  <c r="I18" i="16"/>
  <c r="G98" i="16"/>
  <c r="H98" i="16" s="1"/>
  <c r="G99" i="16"/>
  <c r="H99" i="16" s="1"/>
  <c r="G100" i="16"/>
  <c r="H100" i="16" s="1"/>
  <c r="G101" i="16"/>
  <c r="H101" i="16" s="1"/>
  <c r="G102" i="16"/>
  <c r="H102" i="16" s="1"/>
  <c r="G103" i="16"/>
  <c r="H103" i="16" s="1"/>
  <c r="G104" i="16"/>
  <c r="H104" i="16" s="1"/>
  <c r="G105" i="16"/>
  <c r="H105" i="16" s="1"/>
  <c r="G106" i="16"/>
  <c r="H106" i="16" s="1"/>
  <c r="G107" i="16"/>
  <c r="H107" i="16" s="1"/>
  <c r="G108" i="16"/>
  <c r="H108" i="16" s="1"/>
  <c r="G109" i="16"/>
  <c r="H109" i="16" s="1"/>
  <c r="G110" i="16"/>
  <c r="H110" i="16" s="1"/>
  <c r="G111" i="16"/>
  <c r="H111" i="16" s="1"/>
  <c r="G113" i="16"/>
  <c r="H113" i="16" s="1"/>
  <c r="G114" i="16"/>
  <c r="H114" i="16" s="1"/>
  <c r="G115" i="16"/>
  <c r="H115" i="16" s="1"/>
  <c r="G116" i="16"/>
  <c r="H116" i="16" s="1"/>
  <c r="G117" i="16"/>
  <c r="H117" i="16" s="1"/>
  <c r="G118" i="16"/>
  <c r="H118" i="16" s="1"/>
  <c r="G119" i="16"/>
  <c r="H119" i="16" s="1"/>
  <c r="G120" i="16"/>
  <c r="H120" i="16" s="1"/>
  <c r="G121" i="16"/>
  <c r="H121" i="16" s="1"/>
  <c r="G122" i="16"/>
  <c r="H122" i="16" s="1"/>
  <c r="G123" i="16"/>
  <c r="H123" i="16" s="1"/>
  <c r="G124" i="16"/>
  <c r="H124" i="16" s="1"/>
  <c r="G125" i="16"/>
  <c r="H125" i="16" s="1"/>
  <c r="G128" i="16"/>
  <c r="H128" i="16" s="1"/>
  <c r="G129" i="16"/>
  <c r="H129" i="16" s="1"/>
  <c r="G130" i="16"/>
  <c r="H130" i="16" s="1"/>
  <c r="G131" i="16"/>
  <c r="H131" i="16" s="1"/>
  <c r="G97" i="16"/>
  <c r="H97" i="16" s="1"/>
  <c r="G19" i="16"/>
  <c r="H19" i="16" s="1"/>
  <c r="G20" i="16"/>
  <c r="H20" i="16" s="1"/>
  <c r="G21" i="16"/>
  <c r="H21" i="16" s="1"/>
  <c r="G22" i="16"/>
  <c r="H22" i="16" s="1"/>
  <c r="G23" i="16"/>
  <c r="H23" i="16" s="1"/>
  <c r="G24" i="16"/>
  <c r="H24" i="16" s="1"/>
  <c r="G25" i="16"/>
  <c r="H25" i="16" s="1"/>
  <c r="G26" i="16"/>
  <c r="H26" i="16" s="1"/>
  <c r="G27" i="16"/>
  <c r="H27" i="16" s="1"/>
  <c r="G28" i="16"/>
  <c r="H28" i="16" s="1"/>
  <c r="G29" i="16"/>
  <c r="H29" i="16" s="1"/>
  <c r="G30" i="16"/>
  <c r="H30" i="16" s="1"/>
  <c r="G31" i="16"/>
  <c r="H31" i="16" s="1"/>
  <c r="G32" i="16"/>
  <c r="H32" i="16" s="1"/>
  <c r="G33" i="16"/>
  <c r="H33" i="16" s="1"/>
  <c r="G34" i="16"/>
  <c r="H34" i="16" s="1"/>
  <c r="G35" i="16"/>
  <c r="H35" i="16" s="1"/>
  <c r="G36" i="16"/>
  <c r="H36" i="16" s="1"/>
  <c r="G37" i="16"/>
  <c r="H37" i="16" s="1"/>
  <c r="G38" i="16"/>
  <c r="H38" i="16" s="1"/>
  <c r="G39" i="16"/>
  <c r="H39" i="16" s="1"/>
  <c r="G40" i="16"/>
  <c r="H40" i="16" s="1"/>
  <c r="G41" i="16"/>
  <c r="H41" i="16" s="1"/>
  <c r="G42" i="16"/>
  <c r="H42" i="16" s="1"/>
  <c r="G43" i="16"/>
  <c r="H43" i="16" s="1"/>
  <c r="G44" i="16"/>
  <c r="H44" i="16" s="1"/>
  <c r="G45" i="16"/>
  <c r="H45" i="16" s="1"/>
  <c r="G46" i="16"/>
  <c r="H46" i="16" s="1"/>
  <c r="G47" i="16"/>
  <c r="H47" i="16" s="1"/>
  <c r="G48" i="16"/>
  <c r="H48" i="16" s="1"/>
  <c r="G49" i="16"/>
  <c r="H49" i="16" s="1"/>
  <c r="G50" i="16"/>
  <c r="H50" i="16" s="1"/>
  <c r="G51" i="16"/>
  <c r="H51" i="16" s="1"/>
  <c r="G52" i="16"/>
  <c r="H52" i="16" s="1"/>
  <c r="G53" i="16"/>
  <c r="H53" i="16" s="1"/>
  <c r="G54" i="16"/>
  <c r="H54" i="16" s="1"/>
  <c r="G55" i="16"/>
  <c r="H55" i="16" s="1"/>
  <c r="G56" i="16"/>
  <c r="H56" i="16" s="1"/>
  <c r="G57" i="16"/>
  <c r="H57" i="16" s="1"/>
  <c r="G58" i="16"/>
  <c r="H58" i="16" s="1"/>
  <c r="G59" i="16"/>
  <c r="H59" i="16" s="1"/>
  <c r="G60" i="16"/>
  <c r="H60" i="16" s="1"/>
  <c r="G61" i="16"/>
  <c r="H61" i="16" s="1"/>
  <c r="G62" i="16"/>
  <c r="H62" i="16" s="1"/>
  <c r="G63" i="16"/>
  <c r="H63" i="16" s="1"/>
  <c r="G64" i="16"/>
  <c r="H64" i="16" s="1"/>
  <c r="G65" i="16"/>
  <c r="H65" i="16" s="1"/>
  <c r="G66" i="16"/>
  <c r="H66" i="16" s="1"/>
  <c r="G67" i="16"/>
  <c r="H67" i="16" s="1"/>
  <c r="G68" i="16"/>
  <c r="H68" i="16" s="1"/>
  <c r="G69" i="16"/>
  <c r="H69" i="16" s="1"/>
  <c r="G70" i="16"/>
  <c r="H70" i="16" s="1"/>
  <c r="G71" i="16"/>
  <c r="H71" i="16" s="1"/>
  <c r="G72" i="16"/>
  <c r="H72" i="16" s="1"/>
  <c r="G73" i="16"/>
  <c r="H73" i="16" s="1"/>
  <c r="G74" i="16"/>
  <c r="H74" i="16" s="1"/>
  <c r="G75" i="16"/>
  <c r="H75" i="16" s="1"/>
  <c r="G76" i="16"/>
  <c r="H76" i="16" s="1"/>
  <c r="G77" i="16"/>
  <c r="H77" i="16" s="1"/>
  <c r="G78" i="16"/>
  <c r="H78" i="16" s="1"/>
  <c r="G79" i="16"/>
  <c r="H79" i="16" s="1"/>
  <c r="G80" i="16"/>
  <c r="H80" i="16" s="1"/>
  <c r="G81" i="16"/>
  <c r="H81" i="16" s="1"/>
  <c r="G82" i="16"/>
  <c r="H82" i="16" s="1"/>
  <c r="G83" i="16"/>
  <c r="H83" i="16" s="1"/>
  <c r="G84" i="16"/>
  <c r="H84" i="16" s="1"/>
  <c r="G85" i="16"/>
  <c r="H85" i="16" s="1"/>
  <c r="G86" i="16"/>
  <c r="H86" i="16" s="1"/>
  <c r="G87" i="16"/>
  <c r="H87" i="16" s="1"/>
  <c r="G88" i="16"/>
  <c r="H88" i="16" s="1"/>
  <c r="G89" i="16"/>
  <c r="H89" i="16" s="1"/>
  <c r="G90" i="16"/>
  <c r="H90" i="16" s="1"/>
  <c r="G91" i="16"/>
  <c r="H91" i="16" s="1"/>
  <c r="G92" i="16"/>
  <c r="H92" i="16" s="1"/>
  <c r="G93" i="16"/>
  <c r="H93" i="16" s="1"/>
  <c r="G94" i="16"/>
  <c r="H94" i="16" s="1"/>
  <c r="G95" i="16"/>
  <c r="H95" i="16" s="1"/>
  <c r="G96" i="16"/>
  <c r="H96" i="16" s="1"/>
  <c r="G18" i="16"/>
  <c r="H18" i="16" s="1"/>
  <c r="D98" i="16"/>
  <c r="D99" i="16"/>
  <c r="D100" i="16"/>
  <c r="D101" i="16"/>
  <c r="D102" i="16"/>
  <c r="D103" i="16"/>
  <c r="D104" i="16"/>
  <c r="D105" i="16"/>
  <c r="D106" i="16"/>
  <c r="D107" i="16"/>
  <c r="D108" i="16"/>
  <c r="D109" i="16"/>
  <c r="D110" i="16"/>
  <c r="D111" i="16"/>
  <c r="D113" i="16"/>
  <c r="D114" i="16"/>
  <c r="D115" i="16"/>
  <c r="D116" i="16"/>
  <c r="D117" i="16"/>
  <c r="D118" i="16"/>
  <c r="D119" i="16"/>
  <c r="D120" i="16"/>
  <c r="D121" i="16"/>
  <c r="D122" i="16"/>
  <c r="D123" i="16"/>
  <c r="D124" i="16"/>
  <c r="D125" i="16"/>
  <c r="D128" i="16"/>
  <c r="D129" i="16"/>
  <c r="D130" i="16"/>
  <c r="D131" i="16"/>
  <c r="D97" i="16"/>
  <c r="D19" i="16"/>
  <c r="D20" i="16"/>
  <c r="D21" i="16"/>
  <c r="D22" i="16"/>
  <c r="D23" i="16"/>
  <c r="D24" i="16"/>
  <c r="D25" i="16"/>
  <c r="D26" i="16"/>
  <c r="D27" i="16"/>
  <c r="D28" i="16"/>
  <c r="D29" i="16"/>
  <c r="D30" i="16"/>
  <c r="D31" i="16"/>
  <c r="D32" i="16"/>
  <c r="D33" i="16"/>
  <c r="D34" i="16"/>
  <c r="D35" i="16"/>
  <c r="D36" i="16"/>
  <c r="D37" i="16"/>
  <c r="D38" i="16"/>
  <c r="D39" i="16"/>
  <c r="D40" i="16"/>
  <c r="D41" i="16"/>
  <c r="D42" i="16"/>
  <c r="D43" i="16"/>
  <c r="D44" i="16"/>
  <c r="D45" i="16"/>
  <c r="D46" i="16"/>
  <c r="D47" i="16"/>
  <c r="D48" i="16"/>
  <c r="D49" i="16"/>
  <c r="D50" i="16"/>
  <c r="D51" i="16"/>
  <c r="D52" i="16"/>
  <c r="D53" i="16"/>
  <c r="D54" i="16"/>
  <c r="D55" i="16"/>
  <c r="D56" i="16"/>
  <c r="D57" i="16"/>
  <c r="D58" i="16"/>
  <c r="D59" i="16"/>
  <c r="D60" i="16"/>
  <c r="D61" i="16"/>
  <c r="D62" i="16"/>
  <c r="D63" i="16"/>
  <c r="D64" i="16"/>
  <c r="D65" i="16"/>
  <c r="D66" i="16"/>
  <c r="D67" i="16"/>
  <c r="D68" i="16"/>
  <c r="D69" i="16"/>
  <c r="D70" i="16"/>
  <c r="D71" i="16"/>
  <c r="D72" i="16"/>
  <c r="D73" i="16"/>
  <c r="D74" i="16"/>
  <c r="D75" i="16"/>
  <c r="D76" i="16"/>
  <c r="D77" i="16"/>
  <c r="D78" i="16"/>
  <c r="D79" i="16"/>
  <c r="D80" i="16"/>
  <c r="D81" i="16"/>
  <c r="D82" i="16"/>
  <c r="D83" i="16"/>
  <c r="D84" i="16"/>
  <c r="D85" i="16"/>
  <c r="D86" i="16"/>
  <c r="D87" i="16"/>
  <c r="D88" i="16"/>
  <c r="D89" i="16"/>
  <c r="D90" i="16"/>
  <c r="D91" i="16"/>
  <c r="D92" i="16"/>
  <c r="D93" i="16"/>
  <c r="D94" i="16"/>
  <c r="D95" i="16"/>
  <c r="D96" i="16"/>
  <c r="D18" i="16"/>
  <c r="B78" i="14"/>
  <c r="B77" i="14"/>
  <c r="AG8" i="12"/>
  <c r="AG9" i="12"/>
  <c r="AG10" i="12"/>
  <c r="AG11" i="12"/>
  <c r="AG12" i="12"/>
  <c r="AG13" i="12"/>
  <c r="AG14" i="12"/>
  <c r="AG15" i="12"/>
  <c r="AG16" i="12"/>
  <c r="AG17" i="12"/>
  <c r="AG18" i="12"/>
  <c r="AG19" i="12"/>
  <c r="AG20" i="12"/>
  <c r="AG21" i="12"/>
  <c r="AG22" i="12"/>
  <c r="AG23" i="12"/>
  <c r="AG24" i="12"/>
  <c r="AG25" i="12"/>
  <c r="AG26" i="12"/>
  <c r="AG27" i="12"/>
  <c r="AG28" i="12"/>
  <c r="AG29" i="12"/>
  <c r="AG30" i="12"/>
  <c r="AG31" i="12"/>
  <c r="AG32" i="12"/>
  <c r="AG33" i="12"/>
  <c r="AG34" i="12"/>
  <c r="AG35" i="12"/>
  <c r="AG36" i="12"/>
  <c r="AG37" i="12"/>
  <c r="AG38" i="12"/>
  <c r="AG39" i="12"/>
  <c r="AG40" i="12"/>
  <c r="AG41" i="12"/>
  <c r="AG42" i="12"/>
  <c r="AG43" i="12"/>
  <c r="AG44" i="12"/>
  <c r="AG45" i="12"/>
  <c r="AG46" i="12"/>
  <c r="AG47" i="12"/>
  <c r="AG48" i="12"/>
  <c r="AG49" i="12"/>
  <c r="AG50" i="12"/>
  <c r="AG51" i="12"/>
  <c r="AG52" i="12"/>
  <c r="AG53" i="12"/>
  <c r="AG54" i="12"/>
  <c r="AG55" i="12"/>
  <c r="AG56" i="12"/>
  <c r="AG57" i="12"/>
  <c r="AG58" i="12"/>
  <c r="AG59" i="12"/>
  <c r="AG60" i="12"/>
  <c r="AG61" i="12"/>
  <c r="AG62" i="12"/>
  <c r="AG63" i="12"/>
  <c r="AG64" i="12"/>
  <c r="AG65" i="12"/>
  <c r="AG66" i="12"/>
  <c r="AG67" i="12"/>
  <c r="AG68" i="12"/>
  <c r="AG69" i="12"/>
  <c r="AG70" i="12"/>
  <c r="AG71" i="12"/>
  <c r="AG72" i="12"/>
  <c r="AG73" i="12"/>
  <c r="AG74" i="12"/>
  <c r="AG75" i="12"/>
  <c r="AG76" i="12"/>
  <c r="AG77" i="12"/>
  <c r="AG78" i="12"/>
  <c r="AG79" i="12"/>
  <c r="AG80" i="12"/>
  <c r="AG81" i="12"/>
  <c r="AG82" i="12"/>
  <c r="AG83" i="12"/>
  <c r="AG84" i="12"/>
  <c r="AG85" i="12"/>
  <c r="AG86" i="12"/>
  <c r="AG87" i="12"/>
  <c r="AG88" i="12"/>
  <c r="AG89" i="12"/>
  <c r="AG90" i="12"/>
  <c r="AG91" i="12"/>
  <c r="AG92" i="12"/>
  <c r="AG93" i="12"/>
  <c r="AG94" i="12"/>
  <c r="AG95" i="12"/>
  <c r="AG96" i="12"/>
  <c r="AG97" i="12"/>
  <c r="AG98" i="12"/>
  <c r="AG99" i="12"/>
  <c r="AG100" i="12"/>
  <c r="AG101" i="12"/>
  <c r="AG102" i="12"/>
  <c r="AG103" i="12"/>
  <c r="AG104" i="12"/>
  <c r="AG105" i="12"/>
  <c r="AG106" i="12"/>
  <c r="AG107" i="12"/>
  <c r="AG108" i="12"/>
  <c r="AG109" i="12"/>
  <c r="AG110" i="12"/>
  <c r="AG111" i="12"/>
  <c r="AG112" i="12"/>
  <c r="AG113" i="12"/>
  <c r="AG114" i="12"/>
  <c r="AG115" i="12"/>
  <c r="AG116" i="12"/>
  <c r="AG117" i="12"/>
  <c r="AG118" i="12"/>
  <c r="AG119" i="12"/>
  <c r="AG120" i="12"/>
  <c r="AG121" i="12"/>
  <c r="AG122" i="12"/>
  <c r="AG123" i="12"/>
  <c r="AG124" i="12"/>
  <c r="AG125" i="12"/>
  <c r="AG126" i="12"/>
  <c r="AG127" i="12"/>
  <c r="AG128" i="12"/>
  <c r="AG129" i="12"/>
  <c r="AG130" i="12"/>
  <c r="AG131" i="12"/>
  <c r="AG132" i="12"/>
  <c r="AG133" i="12"/>
  <c r="AG134" i="12"/>
  <c r="AG135" i="12"/>
  <c r="AG136" i="12"/>
  <c r="AG137" i="12"/>
  <c r="AG138" i="12"/>
  <c r="AG139" i="12"/>
  <c r="AG140" i="12"/>
  <c r="AG141" i="12"/>
  <c r="AG142" i="12"/>
  <c r="AG143" i="12"/>
  <c r="AG144" i="12"/>
  <c r="AG145" i="12"/>
  <c r="AG146" i="12"/>
  <c r="AG147" i="12"/>
  <c r="AG148" i="12"/>
  <c r="AG149" i="12"/>
  <c r="AG150" i="12"/>
  <c r="AG151" i="12"/>
  <c r="AG152" i="12"/>
  <c r="AG153" i="12"/>
  <c r="AG154" i="12"/>
  <c r="AG155" i="12"/>
  <c r="AG156" i="12"/>
  <c r="AG157" i="12"/>
  <c r="AG158" i="12"/>
  <c r="AG159" i="12"/>
  <c r="AG160" i="12"/>
  <c r="AG161" i="12"/>
  <c r="AG162" i="12"/>
  <c r="AG163" i="12"/>
  <c r="AG164" i="12"/>
  <c r="AG165" i="12"/>
  <c r="AG166" i="12"/>
  <c r="AG167" i="12"/>
  <c r="AG168" i="12"/>
  <c r="AG169" i="12"/>
  <c r="AG170" i="12"/>
  <c r="AG171" i="12"/>
  <c r="AG172" i="12"/>
  <c r="AG173" i="12"/>
  <c r="AG174" i="12"/>
  <c r="AG175" i="12"/>
  <c r="AG176" i="12"/>
  <c r="AG177" i="12"/>
  <c r="AG178" i="12"/>
  <c r="AG179" i="12"/>
  <c r="AG180" i="12"/>
  <c r="AG181" i="12"/>
  <c r="AG182" i="12"/>
  <c r="AG183" i="12"/>
  <c r="AG184" i="12"/>
  <c r="AG185" i="12"/>
  <c r="AG186" i="12"/>
  <c r="AG187" i="12"/>
  <c r="AG188" i="12"/>
  <c r="AG189" i="12"/>
  <c r="AG190" i="12"/>
  <c r="AG191" i="12"/>
  <c r="AG192" i="12"/>
  <c r="AG193" i="12"/>
  <c r="AG194" i="12"/>
  <c r="AG195" i="12"/>
  <c r="AG196" i="12"/>
  <c r="AG197" i="12"/>
  <c r="AG198" i="12"/>
  <c r="AG199" i="12"/>
  <c r="AG200" i="12"/>
  <c r="AG201" i="12"/>
  <c r="AG202" i="12"/>
  <c r="AG203" i="12"/>
  <c r="AG204" i="12"/>
  <c r="AG205" i="12"/>
  <c r="AG206" i="12"/>
  <c r="AG207" i="12"/>
  <c r="AG208" i="12"/>
  <c r="AG209" i="12"/>
  <c r="AG210" i="12"/>
  <c r="AG211" i="12"/>
  <c r="AG212" i="12"/>
  <c r="AG213" i="12"/>
  <c r="AG214" i="12"/>
  <c r="AG215" i="12"/>
  <c r="AG216" i="12"/>
  <c r="AG217" i="12"/>
  <c r="AG218" i="12"/>
  <c r="AG219" i="12"/>
  <c r="AG220" i="12"/>
  <c r="AG221" i="12"/>
  <c r="AG222" i="12"/>
  <c r="AG223" i="12"/>
  <c r="AG224" i="12"/>
  <c r="AG225" i="12"/>
  <c r="AG226" i="12"/>
  <c r="AG227" i="12"/>
  <c r="AG228" i="12"/>
  <c r="AG229" i="12"/>
  <c r="AG230" i="12"/>
  <c r="AG231" i="12"/>
  <c r="AG232" i="12"/>
  <c r="AG233" i="12"/>
  <c r="AG234" i="12"/>
  <c r="AG235" i="12"/>
  <c r="AG236" i="12"/>
  <c r="AG237" i="12"/>
  <c r="AG238" i="12"/>
  <c r="AG239" i="12"/>
  <c r="AG240" i="12"/>
  <c r="AG241" i="12"/>
  <c r="AG242" i="12"/>
  <c r="AG243" i="12"/>
  <c r="AG244" i="12"/>
  <c r="AG245" i="12"/>
  <c r="AG246" i="12"/>
  <c r="AG247" i="12"/>
  <c r="AG248" i="12"/>
  <c r="AG249" i="12"/>
  <c r="AG250" i="12"/>
  <c r="AG251" i="12"/>
  <c r="AG252" i="12"/>
  <c r="AG253" i="12"/>
  <c r="AG254" i="12"/>
  <c r="AG255" i="12"/>
  <c r="AG256" i="12"/>
  <c r="AG257" i="12"/>
  <c r="AG258" i="12"/>
  <c r="AG259" i="12"/>
  <c r="AG260" i="12"/>
  <c r="AG261" i="12"/>
  <c r="AG262" i="12"/>
  <c r="AG263" i="12"/>
  <c r="AG264" i="12"/>
  <c r="AG265" i="12"/>
  <c r="AG266" i="12"/>
  <c r="AG267" i="12"/>
  <c r="AG268" i="12"/>
  <c r="AG269" i="12"/>
  <c r="AG270" i="12"/>
  <c r="AG271" i="12"/>
  <c r="AG272" i="12"/>
  <c r="AG273" i="12"/>
  <c r="AG274" i="12"/>
  <c r="AG275" i="12"/>
  <c r="AG276" i="12"/>
  <c r="AG277" i="12"/>
  <c r="AG278" i="12"/>
  <c r="AG279" i="12"/>
  <c r="AG280" i="12"/>
  <c r="AG281" i="12"/>
  <c r="AG282" i="12"/>
  <c r="AG283" i="12"/>
  <c r="AG284" i="12"/>
  <c r="AG285" i="12"/>
  <c r="AG286" i="12"/>
  <c r="AG287" i="12"/>
  <c r="AG288" i="12"/>
  <c r="AG289" i="12"/>
  <c r="AG290" i="12"/>
  <c r="AG291" i="12"/>
  <c r="AG292" i="12"/>
  <c r="AG293" i="12"/>
  <c r="AG294" i="12"/>
  <c r="AG295" i="12"/>
  <c r="AG296" i="12"/>
  <c r="AG297" i="12"/>
  <c r="AG298" i="12"/>
  <c r="AG299" i="12"/>
  <c r="AG300" i="12"/>
  <c r="AG301" i="12"/>
  <c r="AG302" i="12"/>
  <c r="AG303" i="12"/>
  <c r="AG304" i="12"/>
  <c r="AG305" i="12"/>
  <c r="AG306" i="12"/>
  <c r="AG307" i="12"/>
  <c r="AG308" i="12"/>
  <c r="AG309" i="12"/>
  <c r="AG310" i="12"/>
  <c r="AG311" i="12"/>
  <c r="AG312" i="12"/>
  <c r="AG313" i="12"/>
  <c r="AG314" i="12"/>
  <c r="AG315" i="12"/>
  <c r="AG316" i="12"/>
  <c r="AG317" i="12"/>
  <c r="AG318" i="12"/>
  <c r="AG319" i="12"/>
  <c r="AG320" i="12"/>
  <c r="AG321" i="12"/>
  <c r="AG322" i="12"/>
  <c r="AG323" i="12"/>
  <c r="AG324" i="12"/>
  <c r="AG325" i="12"/>
  <c r="AG326" i="12"/>
  <c r="AG327" i="12"/>
  <c r="AG328" i="12"/>
  <c r="AG329" i="12"/>
  <c r="AG330" i="12"/>
  <c r="AG331" i="12"/>
  <c r="AG332" i="12"/>
  <c r="AG333" i="12"/>
  <c r="AG334" i="12"/>
  <c r="AG335" i="12"/>
  <c r="AG336" i="12"/>
  <c r="AG337" i="12"/>
  <c r="AG338" i="12"/>
  <c r="AG339" i="12"/>
  <c r="AG340" i="12"/>
  <c r="AG341" i="12"/>
  <c r="AG342" i="12"/>
  <c r="AG343" i="12"/>
  <c r="AG344" i="12"/>
  <c r="AG345" i="12"/>
  <c r="AG346" i="12"/>
  <c r="AG347" i="12"/>
  <c r="AG348" i="12"/>
  <c r="AG349" i="12"/>
  <c r="AG350" i="12"/>
  <c r="AG351" i="12"/>
  <c r="AG352" i="12"/>
  <c r="AG353" i="12"/>
  <c r="AG354" i="12"/>
  <c r="AG355" i="12"/>
  <c r="AG356" i="12"/>
  <c r="AG357" i="12"/>
  <c r="AG358" i="12"/>
  <c r="AG359" i="12"/>
  <c r="AG360" i="12"/>
  <c r="AG361" i="12"/>
  <c r="AG362" i="12"/>
  <c r="AG363" i="12"/>
  <c r="AG364" i="12"/>
  <c r="AG365" i="12"/>
  <c r="AG366" i="12"/>
  <c r="AG367" i="12"/>
  <c r="AG368" i="12"/>
  <c r="AG369" i="12"/>
  <c r="AG370" i="12"/>
  <c r="AG371" i="12"/>
  <c r="AG372" i="12"/>
  <c r="AG373" i="12"/>
  <c r="AG374" i="12"/>
  <c r="AG375" i="12"/>
  <c r="AG376" i="12"/>
  <c r="AG377" i="12"/>
  <c r="AG378" i="12"/>
  <c r="AG379" i="12"/>
  <c r="AG380" i="12"/>
  <c r="AG381" i="12"/>
  <c r="AG382" i="12"/>
  <c r="AG383" i="12"/>
  <c r="AG384" i="12"/>
  <c r="AG385" i="12"/>
  <c r="AG386" i="12"/>
  <c r="AG387" i="12"/>
  <c r="AG388" i="12"/>
  <c r="AG389" i="12"/>
  <c r="AG390" i="12"/>
  <c r="AG391" i="12"/>
  <c r="AG392" i="12"/>
  <c r="AG393" i="12"/>
  <c r="AG394" i="12"/>
  <c r="AG395" i="12"/>
  <c r="AG396" i="12"/>
  <c r="AG397" i="12"/>
  <c r="AG398" i="12"/>
  <c r="AG399" i="12"/>
  <c r="AG400" i="12"/>
  <c r="AG401" i="12"/>
  <c r="AG402" i="12"/>
  <c r="AG403" i="12"/>
  <c r="AG404" i="12"/>
  <c r="AG405" i="12"/>
  <c r="AG406" i="12"/>
  <c r="AG407" i="12"/>
  <c r="AG408" i="12"/>
  <c r="AG409" i="12"/>
  <c r="AG410" i="12"/>
  <c r="AG411" i="12"/>
  <c r="AG412" i="12"/>
  <c r="AG413" i="12"/>
  <c r="AG414" i="12"/>
  <c r="AG415" i="12"/>
  <c r="AG416" i="12"/>
  <c r="AG417" i="12"/>
  <c r="AG418" i="12"/>
  <c r="AG419" i="12"/>
  <c r="AG420" i="12"/>
  <c r="AG421" i="12"/>
  <c r="AG422" i="12"/>
  <c r="AG423" i="12"/>
  <c r="AG424" i="12"/>
  <c r="AG425" i="12"/>
  <c r="AG426" i="12"/>
  <c r="AG427" i="12"/>
  <c r="AG428" i="12"/>
  <c r="AG429" i="12"/>
  <c r="AG430" i="12"/>
  <c r="AG431" i="12"/>
  <c r="AG432" i="12"/>
  <c r="AG433" i="12"/>
  <c r="AG434" i="12"/>
  <c r="AG435" i="12"/>
  <c r="AG436" i="12"/>
  <c r="AG437" i="12"/>
  <c r="AG438" i="12"/>
  <c r="AG439" i="12"/>
  <c r="AG440" i="12"/>
  <c r="AG441" i="12"/>
  <c r="AG442" i="12"/>
  <c r="AG443" i="12"/>
  <c r="AG444" i="12"/>
  <c r="AG445" i="12"/>
  <c r="AG446" i="12"/>
  <c r="AG447" i="12"/>
  <c r="AG448" i="12"/>
  <c r="AG449" i="12"/>
  <c r="AG450" i="12"/>
  <c r="AG451" i="12"/>
  <c r="AG452" i="12"/>
  <c r="AG453" i="12"/>
  <c r="AG454" i="12"/>
  <c r="AG455" i="12"/>
  <c r="AG456" i="12"/>
  <c r="AG457" i="12"/>
  <c r="AG458" i="12"/>
  <c r="AG459" i="12"/>
  <c r="AG460" i="12"/>
  <c r="AG461" i="12"/>
  <c r="AG462" i="12"/>
  <c r="AG463" i="12"/>
  <c r="AG464" i="12"/>
  <c r="AG465" i="12"/>
  <c r="AG466" i="12"/>
  <c r="AG467" i="12"/>
  <c r="AG468" i="12"/>
  <c r="AG469" i="12"/>
  <c r="AG470" i="12"/>
  <c r="AG471" i="12"/>
  <c r="AG472" i="12"/>
  <c r="AG473" i="12"/>
  <c r="AG474" i="12"/>
  <c r="AG475" i="12"/>
  <c r="AG476" i="12"/>
  <c r="AG477" i="12"/>
  <c r="AG478" i="12"/>
  <c r="AG479" i="12"/>
  <c r="AG480" i="12"/>
  <c r="AG481" i="12"/>
  <c r="AG482" i="12"/>
  <c r="AG483" i="12"/>
  <c r="AG484" i="12"/>
  <c r="AG485" i="12"/>
  <c r="AG486" i="12"/>
  <c r="AG487" i="12"/>
  <c r="AG488" i="12"/>
  <c r="AG489" i="12"/>
  <c r="AG490" i="12"/>
  <c r="AG491" i="12"/>
  <c r="AG492" i="12"/>
  <c r="AG493" i="12"/>
  <c r="AG494" i="12"/>
  <c r="AG495" i="12"/>
  <c r="AG496" i="12"/>
  <c r="AG497" i="12"/>
  <c r="AG498" i="12"/>
  <c r="AG499" i="12"/>
  <c r="AG500" i="12"/>
  <c r="AG501" i="12"/>
  <c r="AG502" i="12"/>
  <c r="AG503" i="12"/>
  <c r="AG504" i="12"/>
  <c r="AG505" i="12"/>
  <c r="AG506" i="12"/>
  <c r="AG507" i="12"/>
  <c r="AG508" i="12"/>
  <c r="AG509" i="12"/>
  <c r="AG510" i="12"/>
  <c r="AG7" i="12"/>
  <c r="X7" i="12"/>
  <c r="AH8" i="8"/>
  <c r="AH9" i="8"/>
  <c r="AH10" i="8"/>
  <c r="AH11" i="8"/>
  <c r="AH12" i="8"/>
  <c r="AH13" i="8"/>
  <c r="AH14" i="8"/>
  <c r="AH15" i="8"/>
  <c r="AH16" i="8"/>
  <c r="AH17" i="8"/>
  <c r="AH18" i="8"/>
  <c r="AH19" i="8"/>
  <c r="AH20" i="8"/>
  <c r="AH21" i="8"/>
  <c r="AH22" i="8"/>
  <c r="AH23" i="8"/>
  <c r="AH24" i="8"/>
  <c r="AH25" i="8"/>
  <c r="AH26" i="8"/>
  <c r="AH27" i="8"/>
  <c r="AH28" i="8"/>
  <c r="AH29" i="8"/>
  <c r="AH30" i="8"/>
  <c r="AH31" i="8"/>
  <c r="AH32" i="8"/>
  <c r="AH33" i="8"/>
  <c r="AH34" i="8"/>
  <c r="AH35" i="8"/>
  <c r="AH36" i="8"/>
  <c r="AH37" i="8"/>
  <c r="AH38" i="8"/>
  <c r="AH39" i="8"/>
  <c r="AH40" i="8"/>
  <c r="AH41" i="8"/>
  <c r="AH42" i="8"/>
  <c r="AH43" i="8"/>
  <c r="AH44" i="8"/>
  <c r="AH45" i="8"/>
  <c r="AH46" i="8"/>
  <c r="AH47" i="8"/>
  <c r="AH48" i="8"/>
  <c r="AH49" i="8"/>
  <c r="AH50" i="8"/>
  <c r="AH51" i="8"/>
  <c r="AH52" i="8"/>
  <c r="AH53" i="8"/>
  <c r="AH54" i="8"/>
  <c r="AH55" i="8"/>
  <c r="AH56" i="8"/>
  <c r="AH57" i="8"/>
  <c r="AH58" i="8"/>
  <c r="AH59" i="8"/>
  <c r="AH60" i="8"/>
  <c r="AH61" i="8"/>
  <c r="AH62" i="8"/>
  <c r="AH63" i="8"/>
  <c r="AH64" i="8"/>
  <c r="AH65" i="8"/>
  <c r="AH66" i="8"/>
  <c r="AH67" i="8"/>
  <c r="AH68" i="8"/>
  <c r="AH69" i="8"/>
  <c r="AH70" i="8"/>
  <c r="AH71" i="8"/>
  <c r="AH72" i="8"/>
  <c r="AH73" i="8"/>
  <c r="AH74" i="8"/>
  <c r="AH75" i="8"/>
  <c r="AH76" i="8"/>
  <c r="AH77" i="8"/>
  <c r="AH78" i="8"/>
  <c r="AH79" i="8"/>
  <c r="AH80" i="8"/>
  <c r="AH81" i="8"/>
  <c r="AH82" i="8"/>
  <c r="AH83" i="8"/>
  <c r="AH84" i="8"/>
  <c r="AH85" i="8"/>
  <c r="AH86" i="8"/>
  <c r="AH87" i="8"/>
  <c r="AH88" i="8"/>
  <c r="AH89" i="8"/>
  <c r="AH90" i="8"/>
  <c r="AH91" i="8"/>
  <c r="AH92" i="8"/>
  <c r="AH93" i="8"/>
  <c r="AH94" i="8"/>
  <c r="AH95" i="8"/>
  <c r="AH96" i="8"/>
  <c r="AH97" i="8"/>
  <c r="AH98" i="8"/>
  <c r="AH99" i="8"/>
  <c r="AH100" i="8"/>
  <c r="AH101" i="8"/>
  <c r="AH102" i="8"/>
  <c r="AH103" i="8"/>
  <c r="AH104" i="8"/>
  <c r="AH105" i="8"/>
  <c r="AH106" i="8"/>
  <c r="AH107" i="8"/>
  <c r="AH108" i="8"/>
  <c r="AH109" i="8"/>
  <c r="AH110" i="8"/>
  <c r="AH111" i="8"/>
  <c r="AH112" i="8"/>
  <c r="AH113" i="8"/>
  <c r="AH114" i="8"/>
  <c r="AH115" i="8"/>
  <c r="AH116" i="8"/>
  <c r="AH117" i="8"/>
  <c r="AH118" i="8"/>
  <c r="AH119" i="8"/>
  <c r="AH120" i="8"/>
  <c r="AH121" i="8"/>
  <c r="AH122" i="8"/>
  <c r="AH123" i="8"/>
  <c r="AH124" i="8"/>
  <c r="AH125" i="8"/>
  <c r="AH126" i="8"/>
  <c r="AH127" i="8"/>
  <c r="AH128" i="8"/>
  <c r="AH129" i="8"/>
  <c r="AH130" i="8"/>
  <c r="AH131" i="8"/>
  <c r="AH132" i="8"/>
  <c r="AH133" i="8"/>
  <c r="AH134" i="8"/>
  <c r="AH135" i="8"/>
  <c r="AH136" i="8"/>
  <c r="AH137" i="8"/>
  <c r="AH138" i="8"/>
  <c r="AH139" i="8"/>
  <c r="AH140" i="8"/>
  <c r="AH141" i="8"/>
  <c r="AH142" i="8"/>
  <c r="AH143" i="8"/>
  <c r="AH144" i="8"/>
  <c r="AH145" i="8"/>
  <c r="AH146" i="8"/>
  <c r="AH147" i="8"/>
  <c r="AH148" i="8"/>
  <c r="AH149" i="8"/>
  <c r="AH150" i="8"/>
  <c r="AH151" i="8"/>
  <c r="AH152" i="8"/>
  <c r="AH153" i="8"/>
  <c r="AH154" i="8"/>
  <c r="AH155" i="8"/>
  <c r="AH156" i="8"/>
  <c r="AH157" i="8"/>
  <c r="AH158" i="8"/>
  <c r="AH159" i="8"/>
  <c r="AH160" i="8"/>
  <c r="AH161" i="8"/>
  <c r="AH162" i="8"/>
  <c r="AH163" i="8"/>
  <c r="AH164" i="8"/>
  <c r="AH165" i="8"/>
  <c r="AH166" i="8"/>
  <c r="AH167" i="8"/>
  <c r="AH168" i="8"/>
  <c r="AH169" i="8"/>
  <c r="AH170" i="8"/>
  <c r="AH171" i="8"/>
  <c r="AH172" i="8"/>
  <c r="AH173" i="8"/>
  <c r="AH174" i="8"/>
  <c r="AH175" i="8"/>
  <c r="AH176" i="8"/>
  <c r="AH177" i="8"/>
  <c r="AH178" i="8"/>
  <c r="AH179" i="8"/>
  <c r="AH180" i="8"/>
  <c r="AH181" i="8"/>
  <c r="AH182" i="8"/>
  <c r="AH183" i="8"/>
  <c r="AH184" i="8"/>
  <c r="AH185" i="8"/>
  <c r="AH186" i="8"/>
  <c r="AH187" i="8"/>
  <c r="AH188" i="8"/>
  <c r="AH189" i="8"/>
  <c r="AH190" i="8"/>
  <c r="AH191" i="8"/>
  <c r="AH192" i="8"/>
  <c r="AH193" i="8"/>
  <c r="AH194" i="8"/>
  <c r="AH195" i="8"/>
  <c r="AH196" i="8"/>
  <c r="AH197" i="8"/>
  <c r="AH198" i="8"/>
  <c r="AH199" i="8"/>
  <c r="AH200" i="8"/>
  <c r="AH201" i="8"/>
  <c r="AH202" i="8"/>
  <c r="AH203" i="8"/>
  <c r="AH204" i="8"/>
  <c r="AH205" i="8"/>
  <c r="AH206" i="8"/>
  <c r="AH207" i="8"/>
  <c r="AH208" i="8"/>
  <c r="AH209" i="8"/>
  <c r="AH210" i="8"/>
  <c r="AH211" i="8"/>
  <c r="AH212" i="8"/>
  <c r="AH213" i="8"/>
  <c r="AH214" i="8"/>
  <c r="AH215" i="8"/>
  <c r="AH216" i="8"/>
  <c r="AH217" i="8"/>
  <c r="AH218" i="8"/>
  <c r="AH219" i="8"/>
  <c r="AH220" i="8"/>
  <c r="AH221" i="8"/>
  <c r="AH222" i="8"/>
  <c r="AH223" i="8"/>
  <c r="AH224" i="8"/>
  <c r="AH225" i="8"/>
  <c r="AH226" i="8"/>
  <c r="AH227" i="8"/>
  <c r="AH228" i="8"/>
  <c r="AH229" i="8"/>
  <c r="AH230" i="8"/>
  <c r="AH231" i="8"/>
  <c r="AH232" i="8"/>
  <c r="AH233" i="8"/>
  <c r="AH234" i="8"/>
  <c r="AH235" i="8"/>
  <c r="AH236" i="8"/>
  <c r="AH237" i="8"/>
  <c r="AH238" i="8"/>
  <c r="AH239" i="8"/>
  <c r="AH240" i="8"/>
  <c r="AH241" i="8"/>
  <c r="AH242" i="8"/>
  <c r="AH243" i="8"/>
  <c r="AH244" i="8"/>
  <c r="AH245" i="8"/>
  <c r="AH246" i="8"/>
  <c r="AH247" i="8"/>
  <c r="AH248" i="8"/>
  <c r="AH249" i="8"/>
  <c r="AH250" i="8"/>
  <c r="AH251" i="8"/>
  <c r="AH252" i="8"/>
  <c r="AH253" i="8"/>
  <c r="AH254" i="8"/>
  <c r="AH255" i="8"/>
  <c r="AH256" i="8"/>
  <c r="AH257" i="8"/>
  <c r="AH258" i="8"/>
  <c r="AH259" i="8"/>
  <c r="AH260" i="8"/>
  <c r="AH261" i="8"/>
  <c r="AH262" i="8"/>
  <c r="AH263" i="8"/>
  <c r="AH264" i="8"/>
  <c r="AH265" i="8"/>
  <c r="AH266" i="8"/>
  <c r="AH267" i="8"/>
  <c r="AH268" i="8"/>
  <c r="AH269" i="8"/>
  <c r="AH270" i="8"/>
  <c r="AH271" i="8"/>
  <c r="AH272" i="8"/>
  <c r="AH273" i="8"/>
  <c r="AH274" i="8"/>
  <c r="AH275" i="8"/>
  <c r="AH276" i="8"/>
  <c r="AH277" i="8"/>
  <c r="AH278" i="8"/>
  <c r="AH279" i="8"/>
  <c r="AH280" i="8"/>
  <c r="AH281" i="8"/>
  <c r="AH282" i="8"/>
  <c r="AH283" i="8"/>
  <c r="AH284" i="8"/>
  <c r="AH285" i="8"/>
  <c r="AH286" i="8"/>
  <c r="AH287" i="8"/>
  <c r="AH288" i="8"/>
  <c r="AH289" i="8"/>
  <c r="AH290" i="8"/>
  <c r="AH291" i="8"/>
  <c r="AH292" i="8"/>
  <c r="AH293" i="8"/>
  <c r="AH294" i="8"/>
  <c r="AH295" i="8"/>
  <c r="AH296" i="8"/>
  <c r="AH297" i="8"/>
  <c r="AH298" i="8"/>
  <c r="AH299" i="8"/>
  <c r="AH300" i="8"/>
  <c r="AH301" i="8"/>
  <c r="AH302" i="8"/>
  <c r="AH303" i="8"/>
  <c r="AH304" i="8"/>
  <c r="AH305" i="8"/>
  <c r="AH306" i="8"/>
  <c r="AH307" i="8"/>
  <c r="AH308" i="8"/>
  <c r="AH309" i="8"/>
  <c r="AH310" i="8"/>
  <c r="AH311" i="8"/>
  <c r="AH312" i="8"/>
  <c r="AH313" i="8"/>
  <c r="AH314" i="8"/>
  <c r="AH315" i="8"/>
  <c r="AH316" i="8"/>
  <c r="AH317" i="8"/>
  <c r="AH318" i="8"/>
  <c r="AH319" i="8"/>
  <c r="AH320" i="8"/>
  <c r="AH321" i="8"/>
  <c r="AH322" i="8"/>
  <c r="AH323" i="8"/>
  <c r="AH324" i="8"/>
  <c r="AH325" i="8"/>
  <c r="AH326" i="8"/>
  <c r="AH327" i="8"/>
  <c r="AH328" i="8"/>
  <c r="AH329" i="8"/>
  <c r="AH330" i="8"/>
  <c r="AH331" i="8"/>
  <c r="AH332" i="8"/>
  <c r="AH333" i="8"/>
  <c r="AH334" i="8"/>
  <c r="AH335" i="8"/>
  <c r="AH336" i="8"/>
  <c r="AH337" i="8"/>
  <c r="AH338" i="8"/>
  <c r="AH339" i="8"/>
  <c r="AH340" i="8"/>
  <c r="AH341" i="8"/>
  <c r="AH342" i="8"/>
  <c r="AH343" i="8"/>
  <c r="AH344" i="8"/>
  <c r="AH345" i="8"/>
  <c r="AH346" i="8"/>
  <c r="AH347" i="8"/>
  <c r="AH348" i="8"/>
  <c r="AH349" i="8"/>
  <c r="AH350" i="8"/>
  <c r="AH351" i="8"/>
  <c r="AH352" i="8"/>
  <c r="AH353" i="8"/>
  <c r="AH354" i="8"/>
  <c r="AH355" i="8"/>
  <c r="AH356" i="8"/>
  <c r="AH357" i="8"/>
  <c r="AH358" i="8"/>
  <c r="AH359" i="8"/>
  <c r="AH360" i="8"/>
  <c r="AH361" i="8"/>
  <c r="AH362" i="8"/>
  <c r="AH363" i="8"/>
  <c r="AH364" i="8"/>
  <c r="AH365" i="8"/>
  <c r="AH366" i="8"/>
  <c r="AH367" i="8"/>
  <c r="AH368" i="8"/>
  <c r="AH369" i="8"/>
  <c r="AH370" i="8"/>
  <c r="AH371" i="8"/>
  <c r="AH372" i="8"/>
  <c r="AH373" i="8"/>
  <c r="AH374" i="8"/>
  <c r="AH375" i="8"/>
  <c r="AH376" i="8"/>
  <c r="AH377" i="8"/>
  <c r="AH378" i="8"/>
  <c r="AH379" i="8"/>
  <c r="AH380" i="8"/>
  <c r="AH381" i="8"/>
  <c r="AH382" i="8"/>
  <c r="AH383" i="8"/>
  <c r="AH384" i="8"/>
  <c r="AH385" i="8"/>
  <c r="AH386" i="8"/>
  <c r="AH387" i="8"/>
  <c r="AH388" i="8"/>
  <c r="AH389" i="8"/>
  <c r="AH390" i="8"/>
  <c r="AH391" i="8"/>
  <c r="AH392" i="8"/>
  <c r="AH393" i="8"/>
  <c r="AH394" i="8"/>
  <c r="AH395" i="8"/>
  <c r="AH396" i="8"/>
  <c r="AH397" i="8"/>
  <c r="AH398" i="8"/>
  <c r="AH399" i="8"/>
  <c r="AH400" i="8"/>
  <c r="AH401" i="8"/>
  <c r="AH402" i="8"/>
  <c r="AH403" i="8"/>
  <c r="AH404" i="8"/>
  <c r="AH405" i="8"/>
  <c r="AH406" i="8"/>
  <c r="AH407" i="8"/>
  <c r="AH408" i="8"/>
  <c r="AH409" i="8"/>
  <c r="AH410" i="8"/>
  <c r="AH411" i="8"/>
  <c r="AH412" i="8"/>
  <c r="AH413" i="8"/>
  <c r="AH414" i="8"/>
  <c r="AH415" i="8"/>
  <c r="AH416" i="8"/>
  <c r="AH417" i="8"/>
  <c r="AH418" i="8"/>
  <c r="AH419" i="8"/>
  <c r="AH420" i="8"/>
  <c r="AH421" i="8"/>
  <c r="AH422" i="8"/>
  <c r="AH423" i="8"/>
  <c r="AH424" i="8"/>
  <c r="AH425" i="8"/>
  <c r="AH426" i="8"/>
  <c r="AH427" i="8"/>
  <c r="AH428" i="8"/>
  <c r="AH429" i="8"/>
  <c r="AH430" i="8"/>
  <c r="AH431" i="8"/>
  <c r="AH432" i="8"/>
  <c r="AH433" i="8"/>
  <c r="AH434" i="8"/>
  <c r="AH435" i="8"/>
  <c r="AH436" i="8"/>
  <c r="AH437" i="8"/>
  <c r="AH438" i="8"/>
  <c r="AH439" i="8"/>
  <c r="AH440" i="8"/>
  <c r="AH441" i="8"/>
  <c r="AH442" i="8"/>
  <c r="AH443" i="8"/>
  <c r="AH444" i="8"/>
  <c r="AH445" i="8"/>
  <c r="AH446" i="8"/>
  <c r="AH447" i="8"/>
  <c r="AH448" i="8"/>
  <c r="AH449" i="8"/>
  <c r="AH450" i="8"/>
  <c r="AH451" i="8"/>
  <c r="AH452" i="8"/>
  <c r="AH453" i="8"/>
  <c r="AH454" i="8"/>
  <c r="AH455" i="8"/>
  <c r="AH456" i="8"/>
  <c r="AH457" i="8"/>
  <c r="AH458" i="8"/>
  <c r="AH459" i="8"/>
  <c r="AH460" i="8"/>
  <c r="AH461" i="8"/>
  <c r="AH462" i="8"/>
  <c r="AH463" i="8"/>
  <c r="AH464" i="8"/>
  <c r="AH465" i="8"/>
  <c r="AH466" i="8"/>
  <c r="AH467" i="8"/>
  <c r="AH468" i="8"/>
  <c r="AH469" i="8"/>
  <c r="AH470" i="8"/>
  <c r="AH471" i="8"/>
  <c r="AH472" i="8"/>
  <c r="AH473" i="8"/>
  <c r="AH474" i="8"/>
  <c r="AH475" i="8"/>
  <c r="AH476" i="8"/>
  <c r="AH477" i="8"/>
  <c r="AH478" i="8"/>
  <c r="AH479" i="8"/>
  <c r="AH480" i="8"/>
  <c r="AH481" i="8"/>
  <c r="AH482" i="8"/>
  <c r="AH483" i="8"/>
  <c r="AH484" i="8"/>
  <c r="AH485" i="8"/>
  <c r="AH486" i="8"/>
  <c r="AH487" i="8"/>
  <c r="AH488" i="8"/>
  <c r="AH489" i="8"/>
  <c r="AH490" i="8"/>
  <c r="AH491" i="8"/>
  <c r="AH492" i="8"/>
  <c r="AH493" i="8"/>
  <c r="AH494" i="8"/>
  <c r="AH495" i="8"/>
  <c r="AH496" i="8"/>
  <c r="AH497" i="8"/>
  <c r="AH498" i="8"/>
  <c r="AH499" i="8"/>
  <c r="AH500" i="8"/>
  <c r="AH501" i="8"/>
  <c r="AH502" i="8"/>
  <c r="AH503" i="8"/>
  <c r="AH504" i="8"/>
  <c r="AH505" i="8"/>
  <c r="AH506" i="8"/>
  <c r="AH507" i="8"/>
  <c r="AH508" i="8"/>
  <c r="AH509" i="8"/>
  <c r="AH510" i="8"/>
  <c r="AH7" i="8"/>
  <c r="C7" i="16"/>
  <c r="B3" i="16"/>
  <c r="B2" i="16"/>
  <c r="B1" i="16"/>
  <c r="AD7" i="12" l="1"/>
  <c r="Z7" i="12"/>
  <c r="AH96" i="2"/>
  <c r="H188" i="15" s="1"/>
  <c r="AH97" i="2"/>
  <c r="H189" i="15" s="1"/>
  <c r="AC7" i="12"/>
  <c r="D15" i="16"/>
  <c r="I16" i="16"/>
  <c r="I15" i="16"/>
  <c r="G16" i="16"/>
  <c r="G15" i="16"/>
  <c r="D16" i="16"/>
  <c r="H207" i="15" l="1"/>
  <c r="AG96" i="2"/>
  <c r="G188" i="15" s="1"/>
  <c r="AG97" i="2"/>
  <c r="G189" i="15" s="1"/>
  <c r="E126" i="16"/>
  <c r="E127" i="16"/>
  <c r="J126" i="16"/>
  <c r="J127" i="16"/>
  <c r="E23" i="16"/>
  <c r="E112" i="16"/>
  <c r="J98" i="16"/>
  <c r="J112" i="16"/>
  <c r="E62" i="16"/>
  <c r="E32" i="16"/>
  <c r="E29" i="16"/>
  <c r="E78" i="16"/>
  <c r="E56" i="16"/>
  <c r="E61" i="16"/>
  <c r="E99" i="16"/>
  <c r="E30" i="16"/>
  <c r="E94" i="16"/>
  <c r="E88" i="16"/>
  <c r="E85" i="16"/>
  <c r="E111" i="16"/>
  <c r="E46" i="16"/>
  <c r="E115" i="16"/>
  <c r="E117" i="16"/>
  <c r="E114" i="16"/>
  <c r="E59" i="16"/>
  <c r="E34" i="16"/>
  <c r="E50" i="16"/>
  <c r="E66" i="16"/>
  <c r="E82" i="16"/>
  <c r="E98" i="16"/>
  <c r="E119" i="16"/>
  <c r="E36" i="16"/>
  <c r="E68" i="16"/>
  <c r="E96" i="16"/>
  <c r="E121" i="16"/>
  <c r="E37" i="16"/>
  <c r="E65" i="16"/>
  <c r="E93" i="16"/>
  <c r="E83" i="16"/>
  <c r="E47" i="16"/>
  <c r="E27" i="16"/>
  <c r="E22" i="16"/>
  <c r="E38" i="16"/>
  <c r="E54" i="16"/>
  <c r="E70" i="16"/>
  <c r="E86" i="16"/>
  <c r="E102" i="16"/>
  <c r="E123" i="16"/>
  <c r="E48" i="16"/>
  <c r="E72" i="16"/>
  <c r="E100" i="16"/>
  <c r="E18" i="16"/>
  <c r="E45" i="16"/>
  <c r="E69" i="16"/>
  <c r="E101" i="16"/>
  <c r="E131" i="16"/>
  <c r="E51" i="16"/>
  <c r="E31" i="16"/>
  <c r="E103" i="16"/>
  <c r="E26" i="16"/>
  <c r="E42" i="16"/>
  <c r="E58" i="16"/>
  <c r="E74" i="16"/>
  <c r="E90" i="16"/>
  <c r="E106" i="16"/>
  <c r="E24" i="16"/>
  <c r="E52" i="16"/>
  <c r="E80" i="16"/>
  <c r="E113" i="16"/>
  <c r="E21" i="16"/>
  <c r="E49" i="16"/>
  <c r="E81" i="16"/>
  <c r="E109" i="16"/>
  <c r="E19" i="16"/>
  <c r="E124" i="16"/>
  <c r="E95" i="16"/>
  <c r="E75" i="16"/>
  <c r="E71" i="16"/>
  <c r="E55" i="16"/>
  <c r="E20" i="16"/>
  <c r="E40" i="16"/>
  <c r="E64" i="16"/>
  <c r="E84" i="16"/>
  <c r="E104" i="16"/>
  <c r="E130" i="16"/>
  <c r="E33" i="16"/>
  <c r="E53" i="16"/>
  <c r="E77" i="16"/>
  <c r="E97" i="16"/>
  <c r="E118" i="16"/>
  <c r="E116" i="16"/>
  <c r="E35" i="16"/>
  <c r="E79" i="16"/>
  <c r="E91" i="16"/>
  <c r="E120" i="16"/>
  <c r="E39" i="16"/>
  <c r="J101" i="16"/>
  <c r="J114" i="16"/>
  <c r="J115" i="16"/>
  <c r="J107" i="16"/>
  <c r="J118" i="16"/>
  <c r="J119" i="16"/>
  <c r="J124" i="16"/>
  <c r="J97" i="16"/>
  <c r="J131" i="16"/>
  <c r="J117" i="16"/>
  <c r="J111" i="16"/>
  <c r="J129" i="16"/>
  <c r="J121" i="16"/>
  <c r="J105" i="16"/>
  <c r="J122" i="16"/>
  <c r="J106" i="16"/>
  <c r="J123" i="16"/>
  <c r="J99" i="16"/>
  <c r="J116" i="16"/>
  <c r="J125" i="16"/>
  <c r="E110" i="16"/>
  <c r="E128" i="16"/>
  <c r="E28" i="16"/>
  <c r="E44" i="16"/>
  <c r="E60" i="16"/>
  <c r="E76" i="16"/>
  <c r="E92" i="16"/>
  <c r="E108" i="16"/>
  <c r="E125" i="16"/>
  <c r="E25" i="16"/>
  <c r="E41" i="16"/>
  <c r="E57" i="16"/>
  <c r="E73" i="16"/>
  <c r="E89" i="16"/>
  <c r="E105" i="16"/>
  <c r="E122" i="16"/>
  <c r="E67" i="16"/>
  <c r="E129" i="16"/>
  <c r="E63" i="16"/>
  <c r="E107" i="16"/>
  <c r="E43" i="16"/>
  <c r="E87" i="16"/>
  <c r="J19" i="16"/>
  <c r="J23" i="16"/>
  <c r="J27" i="16"/>
  <c r="J31" i="16"/>
  <c r="J35" i="16"/>
  <c r="J39" i="16"/>
  <c r="J43" i="16"/>
  <c r="J47" i="16"/>
  <c r="J51" i="16"/>
  <c r="J55" i="16"/>
  <c r="J59" i="16"/>
  <c r="J63" i="16"/>
  <c r="J67" i="16"/>
  <c r="J71" i="16"/>
  <c r="J75" i="16"/>
  <c r="J79" i="16"/>
  <c r="J83" i="16"/>
  <c r="J87" i="16"/>
  <c r="J91" i="16"/>
  <c r="J95" i="16"/>
  <c r="J20" i="16"/>
  <c r="J24" i="16"/>
  <c r="J28" i="16"/>
  <c r="J32" i="16"/>
  <c r="J36" i="16"/>
  <c r="J40" i="16"/>
  <c r="J44" i="16"/>
  <c r="J48" i="16"/>
  <c r="J52" i="16"/>
  <c r="J56" i="16"/>
  <c r="J60" i="16"/>
  <c r="J64" i="16"/>
  <c r="J68" i="16"/>
  <c r="J72" i="16"/>
  <c r="J76" i="16"/>
  <c r="J80" i="16"/>
  <c r="J84" i="16"/>
  <c r="J88" i="16"/>
  <c r="J92" i="16"/>
  <c r="J96" i="16"/>
  <c r="J100" i="16"/>
  <c r="J104" i="16"/>
  <c r="J108" i="16"/>
  <c r="J18" i="16"/>
  <c r="J21" i="16"/>
  <c r="J25" i="16"/>
  <c r="J29" i="16"/>
  <c r="J33" i="16"/>
  <c r="J37" i="16"/>
  <c r="J41" i="16"/>
  <c r="J45" i="16"/>
  <c r="J49" i="16"/>
  <c r="J53" i="16"/>
  <c r="J57" i="16"/>
  <c r="J61" i="16"/>
  <c r="J65" i="16"/>
  <c r="J69" i="16"/>
  <c r="J73" i="16"/>
  <c r="J77" i="16"/>
  <c r="J81" i="16"/>
  <c r="J85" i="16"/>
  <c r="J89" i="16"/>
  <c r="J93" i="16"/>
  <c r="J22" i="16"/>
  <c r="J26" i="16"/>
  <c r="J30" i="16"/>
  <c r="J34" i="16"/>
  <c r="J38" i="16"/>
  <c r="J42" i="16"/>
  <c r="J46" i="16"/>
  <c r="J50" i="16"/>
  <c r="J54" i="16"/>
  <c r="J58" i="16"/>
  <c r="J62" i="16"/>
  <c r="J66" i="16"/>
  <c r="J70" i="16"/>
  <c r="J74" i="16"/>
  <c r="J78" i="16"/>
  <c r="J82" i="16"/>
  <c r="J86" i="16"/>
  <c r="J90" i="16"/>
  <c r="J94" i="16"/>
  <c r="J109" i="16"/>
  <c r="J110" i="16"/>
  <c r="J128" i="16"/>
  <c r="J103" i="16"/>
  <c r="J120" i="16"/>
  <c r="J113" i="16"/>
  <c r="J130" i="16"/>
  <c r="J102" i="16"/>
  <c r="C25" i="17" l="1"/>
  <c r="E25" i="17" s="1"/>
  <c r="F25" i="17" s="1"/>
  <c r="C74" i="14"/>
  <c r="E74" i="14" s="1"/>
  <c r="G207" i="15"/>
  <c r="AG115" i="2"/>
  <c r="E15" i="16"/>
  <c r="E16" i="16"/>
  <c r="J15" i="16"/>
  <c r="J16" i="16"/>
  <c r="D74" i="14" l="1"/>
  <c r="C24" i="17"/>
  <c r="C73" i="14"/>
  <c r="V68" i="15"/>
  <c r="V69" i="15"/>
  <c r="V70" i="15"/>
  <c r="V71" i="15"/>
  <c r="V72" i="15"/>
  <c r="V73" i="15"/>
  <c r="V74" i="15"/>
  <c r="V67" i="15"/>
  <c r="U68" i="15"/>
  <c r="U69" i="15"/>
  <c r="U70" i="15"/>
  <c r="U71" i="15"/>
  <c r="U72" i="15"/>
  <c r="U73" i="15"/>
  <c r="U74" i="15"/>
  <c r="U67" i="15"/>
  <c r="T68" i="15"/>
  <c r="T69" i="15"/>
  <c r="T70" i="15"/>
  <c r="T71" i="15"/>
  <c r="T72" i="15"/>
  <c r="T73" i="15"/>
  <c r="T74" i="15"/>
  <c r="T67" i="15"/>
  <c r="S68" i="15"/>
  <c r="S69" i="15"/>
  <c r="S70" i="15"/>
  <c r="S71" i="15"/>
  <c r="S72" i="15"/>
  <c r="S73" i="15"/>
  <c r="S74" i="15"/>
  <c r="S67" i="15"/>
  <c r="Q68" i="15"/>
  <c r="Q69" i="15"/>
  <c r="Q70" i="15"/>
  <c r="Q71" i="15"/>
  <c r="Q72" i="15"/>
  <c r="Q73" i="15"/>
  <c r="Q74" i="15"/>
  <c r="Q67" i="15"/>
  <c r="C132" i="15"/>
  <c r="C133" i="15"/>
  <c r="C134" i="15"/>
  <c r="C135" i="15"/>
  <c r="C136" i="15"/>
  <c r="C137" i="15"/>
  <c r="C138" i="15"/>
  <c r="C139" i="15"/>
  <c r="C140" i="15"/>
  <c r="C141" i="15"/>
  <c r="C142" i="15"/>
  <c r="C143" i="15"/>
  <c r="C144" i="15"/>
  <c r="C145" i="15"/>
  <c r="C146" i="15"/>
  <c r="C147" i="15"/>
  <c r="C148" i="15"/>
  <c r="C149" i="15"/>
  <c r="C131" i="15"/>
  <c r="E132" i="15"/>
  <c r="E133" i="15"/>
  <c r="E134" i="15"/>
  <c r="E135" i="15"/>
  <c r="E136" i="15"/>
  <c r="E137" i="15"/>
  <c r="E138" i="15"/>
  <c r="E139" i="15"/>
  <c r="E140" i="15"/>
  <c r="E141" i="15"/>
  <c r="E142" i="15"/>
  <c r="E143" i="15"/>
  <c r="E144" i="15"/>
  <c r="E145" i="15"/>
  <c r="E146" i="15"/>
  <c r="E147" i="15"/>
  <c r="E148" i="15"/>
  <c r="E149" i="15"/>
  <c r="E131" i="15"/>
  <c r="F132" i="15"/>
  <c r="F133" i="15"/>
  <c r="F134" i="15"/>
  <c r="F135" i="15"/>
  <c r="F136" i="15"/>
  <c r="F137" i="15"/>
  <c r="F138" i="15"/>
  <c r="F139" i="15"/>
  <c r="F140" i="15"/>
  <c r="F141" i="15"/>
  <c r="F142" i="15"/>
  <c r="F143" i="15"/>
  <c r="F144" i="15"/>
  <c r="F145" i="15"/>
  <c r="F146" i="15"/>
  <c r="F147" i="15"/>
  <c r="F148" i="15"/>
  <c r="F149" i="15"/>
  <c r="F131" i="15"/>
  <c r="D73" i="14" l="1"/>
  <c r="E73" i="14"/>
  <c r="C150" i="15"/>
  <c r="G139" i="15"/>
  <c r="G133" i="15"/>
  <c r="G145" i="15"/>
  <c r="G140" i="15"/>
  <c r="G144" i="15"/>
  <c r="G136" i="15"/>
  <c r="F110" i="15"/>
  <c r="F111" i="15"/>
  <c r="F112" i="15"/>
  <c r="F113" i="15"/>
  <c r="F114" i="15"/>
  <c r="F115" i="15"/>
  <c r="F116" i="15"/>
  <c r="F117" i="15"/>
  <c r="F118" i="15"/>
  <c r="F119" i="15"/>
  <c r="F120" i="15"/>
  <c r="F121" i="15"/>
  <c r="F122" i="15"/>
  <c r="F123" i="15"/>
  <c r="F124" i="15"/>
  <c r="F125" i="15"/>
  <c r="F126" i="15"/>
  <c r="F127" i="15"/>
  <c r="F109" i="15"/>
  <c r="E110" i="15"/>
  <c r="E111" i="15"/>
  <c r="E112" i="15"/>
  <c r="E113" i="15"/>
  <c r="E114" i="15"/>
  <c r="E115" i="15"/>
  <c r="E116" i="15"/>
  <c r="E117" i="15"/>
  <c r="E118" i="15"/>
  <c r="E119" i="15"/>
  <c r="E120" i="15"/>
  <c r="E121" i="15"/>
  <c r="E122" i="15"/>
  <c r="E123" i="15"/>
  <c r="E124" i="15"/>
  <c r="E125" i="15"/>
  <c r="E126" i="15"/>
  <c r="E127" i="15"/>
  <c r="E109" i="15"/>
  <c r="G114" i="15" l="1"/>
  <c r="G122" i="15"/>
  <c r="G118" i="15"/>
  <c r="G110" i="15"/>
  <c r="G123" i="15"/>
  <c r="G119" i="15"/>
  <c r="G115" i="15"/>
  <c r="G111" i="15"/>
  <c r="G132" i="15"/>
  <c r="G143" i="15"/>
  <c r="G135" i="15"/>
  <c r="G148" i="15"/>
  <c r="G141" i="15"/>
  <c r="G137" i="15"/>
  <c r="G147" i="15"/>
  <c r="G149" i="15"/>
  <c r="F150" i="15"/>
  <c r="G131" i="15"/>
  <c r="G138" i="15"/>
  <c r="G134" i="15"/>
  <c r="G142" i="15"/>
  <c r="G146" i="15"/>
  <c r="E150" i="15"/>
  <c r="G113" i="15"/>
  <c r="G117" i="15"/>
  <c r="G121" i="15"/>
  <c r="G125" i="15"/>
  <c r="G126" i="15"/>
  <c r="G127" i="15"/>
  <c r="G112" i="15"/>
  <c r="G116" i="15"/>
  <c r="G120" i="15"/>
  <c r="G124" i="15"/>
  <c r="E128" i="15"/>
  <c r="G109" i="15"/>
  <c r="F128" i="15"/>
  <c r="F104" i="15"/>
  <c r="C106" i="15"/>
  <c r="C105" i="15"/>
  <c r="V24" i="15"/>
  <c r="U24" i="15"/>
  <c r="T24" i="15"/>
  <c r="S24" i="15"/>
  <c r="R24" i="15"/>
  <c r="Q24" i="15"/>
  <c r="V23" i="15"/>
  <c r="U23" i="15"/>
  <c r="T23" i="15"/>
  <c r="S23" i="15"/>
  <c r="R23" i="15"/>
  <c r="Q23" i="15"/>
  <c r="V22" i="15"/>
  <c r="U22" i="15"/>
  <c r="T22" i="15"/>
  <c r="S22" i="15"/>
  <c r="R22" i="15"/>
  <c r="Q22" i="15"/>
  <c r="V21" i="15"/>
  <c r="U21" i="15"/>
  <c r="T21" i="15"/>
  <c r="S21" i="15"/>
  <c r="R21" i="15"/>
  <c r="Q21" i="15"/>
  <c r="V20" i="15"/>
  <c r="U20" i="15"/>
  <c r="T20" i="15"/>
  <c r="S20" i="15"/>
  <c r="R20" i="15"/>
  <c r="Q20" i="15"/>
  <c r="V19" i="15"/>
  <c r="U19" i="15"/>
  <c r="T19" i="15"/>
  <c r="S19" i="15"/>
  <c r="R19" i="15"/>
  <c r="Q19" i="15"/>
  <c r="V18" i="15"/>
  <c r="U18" i="15"/>
  <c r="T18" i="15"/>
  <c r="S18" i="15"/>
  <c r="R18" i="15"/>
  <c r="Q18" i="15"/>
  <c r="V17" i="15"/>
  <c r="U17" i="15"/>
  <c r="T17" i="15"/>
  <c r="S17" i="15"/>
  <c r="R17" i="15"/>
  <c r="Q17" i="15"/>
  <c r="V16" i="15"/>
  <c r="U16" i="15"/>
  <c r="T16" i="15"/>
  <c r="S16" i="15"/>
  <c r="R16" i="15"/>
  <c r="Q16" i="15"/>
  <c r="V15" i="15"/>
  <c r="U15" i="15"/>
  <c r="T15" i="15"/>
  <c r="S15" i="15"/>
  <c r="R15" i="15"/>
  <c r="Q15" i="15"/>
  <c r="V14" i="15"/>
  <c r="U14" i="15"/>
  <c r="T14" i="15"/>
  <c r="S14" i="15"/>
  <c r="R14" i="15"/>
  <c r="Q14" i="15"/>
  <c r="V13" i="15"/>
  <c r="U13" i="15"/>
  <c r="T13" i="15"/>
  <c r="S13" i="15"/>
  <c r="R13" i="15"/>
  <c r="Q13" i="15"/>
  <c r="V12" i="15"/>
  <c r="U12" i="15"/>
  <c r="T12" i="15"/>
  <c r="S12" i="15"/>
  <c r="R12" i="15"/>
  <c r="Q12" i="15"/>
  <c r="V11" i="15"/>
  <c r="U11" i="15"/>
  <c r="T11" i="15"/>
  <c r="S11" i="15"/>
  <c r="R11" i="15"/>
  <c r="Q11" i="15"/>
  <c r="V10" i="15"/>
  <c r="U10" i="15"/>
  <c r="T10" i="15"/>
  <c r="S10" i="15"/>
  <c r="R10" i="15"/>
  <c r="Q10" i="15"/>
  <c r="G150" i="15" l="1"/>
  <c r="G128" i="15"/>
  <c r="V75" i="15"/>
  <c r="V8" i="15" s="1"/>
  <c r="S75" i="15"/>
  <c r="S8" i="15" s="1"/>
  <c r="S7" i="15"/>
  <c r="V7" i="15"/>
  <c r="C84" i="14"/>
  <c r="K28" i="15"/>
  <c r="K27" i="15"/>
  <c r="C68" i="14" l="1"/>
  <c r="E68" i="14" s="1"/>
  <c r="C68" i="17"/>
  <c r="E68" i="17" s="1"/>
  <c r="C67" i="14"/>
  <c r="E67" i="14" s="1"/>
  <c r="C67" i="17"/>
  <c r="E67" i="17" s="1"/>
  <c r="E12" i="15"/>
  <c r="E69" i="17" l="1"/>
  <c r="E69" i="14"/>
  <c r="F35" i="15"/>
  <c r="F34" i="15"/>
  <c r="K32" i="15"/>
  <c r="K63" i="15" s="1"/>
  <c r="K31" i="15"/>
  <c r="F36" i="15" l="1"/>
  <c r="H67" i="15" s="1"/>
  <c r="C60" i="14" l="1"/>
  <c r="C60" i="17"/>
  <c r="K24" i="15"/>
  <c r="K26" i="15"/>
  <c r="C38" i="15"/>
  <c r="C37" i="15"/>
  <c r="H6" i="3"/>
  <c r="C153" i="15" l="1"/>
  <c r="C31" i="15"/>
  <c r="C39" i="15"/>
  <c r="H24" i="15" l="1"/>
  <c r="H25" i="15"/>
  <c r="H26" i="15"/>
  <c r="H27" i="15"/>
  <c r="H28" i="15"/>
  <c r="H30" i="15"/>
  <c r="H31" i="15"/>
  <c r="H32" i="15"/>
  <c r="F27" i="15"/>
  <c r="F26" i="15"/>
  <c r="F25" i="15"/>
  <c r="F24" i="15"/>
  <c r="F23" i="15"/>
  <c r="C29" i="15"/>
  <c r="C28" i="15"/>
  <c r="C24" i="15"/>
  <c r="C25" i="15"/>
  <c r="C26" i="15"/>
  <c r="C23" i="15"/>
  <c r="E14" i="15"/>
  <c r="E15" i="15" s="1"/>
  <c r="K18" i="15"/>
  <c r="K17" i="15"/>
  <c r="K16" i="15"/>
  <c r="K15" i="15"/>
  <c r="K14" i="15"/>
  <c r="K13" i="15"/>
  <c r="K11" i="15"/>
  <c r="K10" i="15"/>
  <c r="H18" i="15"/>
  <c r="H17" i="15"/>
  <c r="H16" i="15"/>
  <c r="H15" i="15"/>
  <c r="H14" i="15"/>
  <c r="H13" i="15"/>
  <c r="H11" i="15"/>
  <c r="H10" i="15"/>
  <c r="H9" i="15"/>
  <c r="H8" i="15"/>
  <c r="E13" i="15"/>
  <c r="E11" i="15"/>
  <c r="E10" i="15"/>
  <c r="B3" i="15"/>
  <c r="B2" i="15"/>
  <c r="B1" i="15"/>
  <c r="A7" i="8"/>
  <c r="A8" i="8"/>
  <c r="A10" i="8"/>
  <c r="A11" i="8"/>
  <c r="A12" i="8"/>
  <c r="A13" i="8"/>
  <c r="A14" i="8"/>
  <c r="A15" i="8"/>
  <c r="A16" i="8"/>
  <c r="A17" i="8"/>
  <c r="A18" i="8"/>
  <c r="A20" i="8"/>
  <c r="A21" i="8"/>
  <c r="A22" i="8"/>
  <c r="A23" i="8"/>
  <c r="A24" i="8"/>
  <c r="A25" i="8"/>
  <c r="A26" i="8"/>
  <c r="A27" i="8"/>
  <c r="A28" i="8"/>
  <c r="A29" i="8"/>
  <c r="A30" i="8"/>
  <c r="A31" i="8"/>
  <c r="A32" i="8"/>
  <c r="A33" i="8"/>
  <c r="A34" i="8"/>
  <c r="A35" i="8"/>
  <c r="A36" i="8"/>
  <c r="A37" i="8"/>
  <c r="A38" i="8"/>
  <c r="A39" i="8"/>
  <c r="A40" i="8"/>
  <c r="A41" i="8"/>
  <c r="A42" i="8"/>
  <c r="A43" i="8"/>
  <c r="A44" i="8"/>
  <c r="A45" i="8"/>
  <c r="A46" i="8"/>
  <c r="A47" i="8"/>
  <c r="A48" i="8"/>
  <c r="A49" i="8"/>
  <c r="A50" i="8"/>
  <c r="A51" i="8"/>
  <c r="A52" i="8"/>
  <c r="A53" i="8"/>
  <c r="A54" i="8"/>
  <c r="A55" i="8"/>
  <c r="A56" i="8"/>
  <c r="A57" i="8"/>
  <c r="A58" i="8"/>
  <c r="A59" i="8"/>
  <c r="A60" i="8"/>
  <c r="A61" i="8"/>
  <c r="A62" i="8"/>
  <c r="A63" i="8"/>
  <c r="A64" i="8"/>
  <c r="A65" i="8"/>
  <c r="A66" i="8"/>
  <c r="A67" i="8"/>
  <c r="A68" i="8"/>
  <c r="A69" i="8"/>
  <c r="A70" i="8"/>
  <c r="A71" i="8"/>
  <c r="A72" i="8"/>
  <c r="A73" i="8"/>
  <c r="A74" i="8"/>
  <c r="A75" i="8"/>
  <c r="A76" i="8"/>
  <c r="A77" i="8"/>
  <c r="A78" i="8"/>
  <c r="A79" i="8"/>
  <c r="A80" i="8"/>
  <c r="A81" i="8"/>
  <c r="A82" i="8"/>
  <c r="A83" i="8"/>
  <c r="A84" i="8"/>
  <c r="A85" i="8"/>
  <c r="A86" i="8"/>
  <c r="A87" i="8"/>
  <c r="A88" i="8"/>
  <c r="A89" i="8"/>
  <c r="A90" i="8"/>
  <c r="A91" i="8"/>
  <c r="A92" i="8"/>
  <c r="A93" i="8"/>
  <c r="A94" i="8"/>
  <c r="A95" i="8"/>
  <c r="A96" i="8"/>
  <c r="A97" i="8"/>
  <c r="A98" i="8"/>
  <c r="A99" i="8"/>
  <c r="A100" i="8"/>
  <c r="A101" i="8"/>
  <c r="A102" i="8"/>
  <c r="A103" i="8"/>
  <c r="A104" i="8"/>
  <c r="A105" i="8"/>
  <c r="A106" i="8"/>
  <c r="A107" i="8"/>
  <c r="A108" i="8"/>
  <c r="A109" i="8"/>
  <c r="A110" i="8"/>
  <c r="A111" i="8"/>
  <c r="A112" i="8"/>
  <c r="A113" i="8"/>
  <c r="A114" i="8"/>
  <c r="A115" i="8"/>
  <c r="A116" i="8"/>
  <c r="A117" i="8"/>
  <c r="A118" i="8"/>
  <c r="A119" i="8"/>
  <c r="A120" i="8"/>
  <c r="A121" i="8"/>
  <c r="A122" i="8"/>
  <c r="A123" i="8"/>
  <c r="A124" i="8"/>
  <c r="A125" i="8"/>
  <c r="A126" i="8"/>
  <c r="A127" i="8"/>
  <c r="A128" i="8"/>
  <c r="A129" i="8"/>
  <c r="A130" i="8"/>
  <c r="A131" i="8"/>
  <c r="A132" i="8"/>
  <c r="A133" i="8"/>
  <c r="A134" i="8"/>
  <c r="A135" i="8"/>
  <c r="A136" i="8"/>
  <c r="A137" i="8"/>
  <c r="A138" i="8"/>
  <c r="A139" i="8"/>
  <c r="A140" i="8"/>
  <c r="A141" i="8"/>
  <c r="A142" i="8"/>
  <c r="A143" i="8"/>
  <c r="A144" i="8"/>
  <c r="A145" i="8"/>
  <c r="A146" i="8"/>
  <c r="A147" i="8"/>
  <c r="A148" i="8"/>
  <c r="A149" i="8"/>
  <c r="A150" i="8"/>
  <c r="A151" i="8"/>
  <c r="A152" i="8"/>
  <c r="A153" i="8"/>
  <c r="A154" i="8"/>
  <c r="A155" i="8"/>
  <c r="A156" i="8"/>
  <c r="A157" i="8"/>
  <c r="A158" i="8"/>
  <c r="A159" i="8"/>
  <c r="A160" i="8"/>
  <c r="A161" i="8"/>
  <c r="A162" i="8"/>
  <c r="A163" i="8"/>
  <c r="A164" i="8"/>
  <c r="A165" i="8"/>
  <c r="A166" i="8"/>
  <c r="A167" i="8"/>
  <c r="A168" i="8"/>
  <c r="A169" i="8"/>
  <c r="A170" i="8"/>
  <c r="A171" i="8"/>
  <c r="A172" i="8"/>
  <c r="A173" i="8"/>
  <c r="A174" i="8"/>
  <c r="A175" i="8"/>
  <c r="A176" i="8"/>
  <c r="A177" i="8"/>
  <c r="A178" i="8"/>
  <c r="A179" i="8"/>
  <c r="A180" i="8"/>
  <c r="A181" i="8"/>
  <c r="A182" i="8"/>
  <c r="A183" i="8"/>
  <c r="A184" i="8"/>
  <c r="A185" i="8"/>
  <c r="A186" i="8"/>
  <c r="A187" i="8"/>
  <c r="A188" i="8"/>
  <c r="A189" i="8"/>
  <c r="A190" i="8"/>
  <c r="A191" i="8"/>
  <c r="A192" i="8"/>
  <c r="A193" i="8"/>
  <c r="A194" i="8"/>
  <c r="A195" i="8"/>
  <c r="A196" i="8"/>
  <c r="A197" i="8"/>
  <c r="A198" i="8"/>
  <c r="A199" i="8"/>
  <c r="A200" i="8"/>
  <c r="A201" i="8"/>
  <c r="A202" i="8"/>
  <c r="A203" i="8"/>
  <c r="A204" i="8"/>
  <c r="A205" i="8"/>
  <c r="A206" i="8"/>
  <c r="A207" i="8"/>
  <c r="A208" i="8"/>
  <c r="A209" i="8"/>
  <c r="A210" i="8"/>
  <c r="A211" i="8"/>
  <c r="A212" i="8"/>
  <c r="A213" i="8"/>
  <c r="A214" i="8"/>
  <c r="A215" i="8"/>
  <c r="A216" i="8"/>
  <c r="A217" i="8"/>
  <c r="A218" i="8"/>
  <c r="A219" i="8"/>
  <c r="A220" i="8"/>
  <c r="A221" i="8"/>
  <c r="A222" i="8"/>
  <c r="A223" i="8"/>
  <c r="A224" i="8"/>
  <c r="A225" i="8"/>
  <c r="A226" i="8"/>
  <c r="A227" i="8"/>
  <c r="A228" i="8"/>
  <c r="A229" i="8"/>
  <c r="A230" i="8"/>
  <c r="A231" i="8"/>
  <c r="A232" i="8"/>
  <c r="A233" i="8"/>
  <c r="A234" i="8"/>
  <c r="A235" i="8"/>
  <c r="A236" i="8"/>
  <c r="A237" i="8"/>
  <c r="A238" i="8"/>
  <c r="A239" i="8"/>
  <c r="A240" i="8"/>
  <c r="A241" i="8"/>
  <c r="A242" i="8"/>
  <c r="A243" i="8"/>
  <c r="A244" i="8"/>
  <c r="A245" i="8"/>
  <c r="A246" i="8"/>
  <c r="A247" i="8"/>
  <c r="A248" i="8"/>
  <c r="A249" i="8"/>
  <c r="A250" i="8"/>
  <c r="A251" i="8"/>
  <c r="A252" i="8"/>
  <c r="A253" i="8"/>
  <c r="A254" i="8"/>
  <c r="A255" i="8"/>
  <c r="A256" i="8"/>
  <c r="A257" i="8"/>
  <c r="A258" i="8"/>
  <c r="A259" i="8"/>
  <c r="A260" i="8"/>
  <c r="A261" i="8"/>
  <c r="A262" i="8"/>
  <c r="A263" i="8"/>
  <c r="A264" i="8"/>
  <c r="A265" i="8"/>
  <c r="A266" i="8"/>
  <c r="A267" i="8"/>
  <c r="A268" i="8"/>
  <c r="A269" i="8"/>
  <c r="A270" i="8"/>
  <c r="A271" i="8"/>
  <c r="A272" i="8"/>
  <c r="A273" i="8"/>
  <c r="A274" i="8"/>
  <c r="A275" i="8"/>
  <c r="A276" i="8"/>
  <c r="A277" i="8"/>
  <c r="A278" i="8"/>
  <c r="A279" i="8"/>
  <c r="A280" i="8"/>
  <c r="A281" i="8"/>
  <c r="A282" i="8"/>
  <c r="A283" i="8"/>
  <c r="A284" i="8"/>
  <c r="A285" i="8"/>
  <c r="A286" i="8"/>
  <c r="A287" i="8"/>
  <c r="A288" i="8"/>
  <c r="A289" i="8"/>
  <c r="A290" i="8"/>
  <c r="A291" i="8"/>
  <c r="A292" i="8"/>
  <c r="A293" i="8"/>
  <c r="A294" i="8"/>
  <c r="A295" i="8"/>
  <c r="A296" i="8"/>
  <c r="A297" i="8"/>
  <c r="A298" i="8"/>
  <c r="A299" i="8"/>
  <c r="A300" i="8"/>
  <c r="A301" i="8"/>
  <c r="A302" i="8"/>
  <c r="A303" i="8"/>
  <c r="A304" i="8"/>
  <c r="A305" i="8"/>
  <c r="A306" i="8"/>
  <c r="A307" i="8"/>
  <c r="A308" i="8"/>
  <c r="A309" i="8"/>
  <c r="A310" i="8"/>
  <c r="A311" i="8"/>
  <c r="A312" i="8"/>
  <c r="A313" i="8"/>
  <c r="A314" i="8"/>
  <c r="A315" i="8"/>
  <c r="A316" i="8"/>
  <c r="A317" i="8"/>
  <c r="A318" i="8"/>
  <c r="A319" i="8"/>
  <c r="A320" i="8"/>
  <c r="A321" i="8"/>
  <c r="A322" i="8"/>
  <c r="A323" i="8"/>
  <c r="A324" i="8"/>
  <c r="A325" i="8"/>
  <c r="A326" i="8"/>
  <c r="A327" i="8"/>
  <c r="A328" i="8"/>
  <c r="A329" i="8"/>
  <c r="A330" i="8"/>
  <c r="A331" i="8"/>
  <c r="A332" i="8"/>
  <c r="A333" i="8"/>
  <c r="A334" i="8"/>
  <c r="A335" i="8"/>
  <c r="A336" i="8"/>
  <c r="A337" i="8"/>
  <c r="A338" i="8"/>
  <c r="A339" i="8"/>
  <c r="A340" i="8"/>
  <c r="A341" i="8"/>
  <c r="A342" i="8"/>
  <c r="A343" i="8"/>
  <c r="A344" i="8"/>
  <c r="A345" i="8"/>
  <c r="A346" i="8"/>
  <c r="A347" i="8"/>
  <c r="A348" i="8"/>
  <c r="A349" i="8"/>
  <c r="A350" i="8"/>
  <c r="A351" i="8"/>
  <c r="A352" i="8"/>
  <c r="A353" i="8"/>
  <c r="A354" i="8"/>
  <c r="A355" i="8"/>
  <c r="A356" i="8"/>
  <c r="A357" i="8"/>
  <c r="A358" i="8"/>
  <c r="A359" i="8"/>
  <c r="A360" i="8"/>
  <c r="A361" i="8"/>
  <c r="A362" i="8"/>
  <c r="A363" i="8"/>
  <c r="A364" i="8"/>
  <c r="A365" i="8"/>
  <c r="A366" i="8"/>
  <c r="A367" i="8"/>
  <c r="A368" i="8"/>
  <c r="A369" i="8"/>
  <c r="A370" i="8"/>
  <c r="A371" i="8"/>
  <c r="A372" i="8"/>
  <c r="A373" i="8"/>
  <c r="A374" i="8"/>
  <c r="A375" i="8"/>
  <c r="A376" i="8"/>
  <c r="A377" i="8"/>
  <c r="A378" i="8"/>
  <c r="A379" i="8"/>
  <c r="A380" i="8"/>
  <c r="A381" i="8"/>
  <c r="A382" i="8"/>
  <c r="A383" i="8"/>
  <c r="A384" i="8"/>
  <c r="A385" i="8"/>
  <c r="A386" i="8"/>
  <c r="A387" i="8"/>
  <c r="A388" i="8"/>
  <c r="A389" i="8"/>
  <c r="A390" i="8"/>
  <c r="A391" i="8"/>
  <c r="A392" i="8"/>
  <c r="A393" i="8"/>
  <c r="A394" i="8"/>
  <c r="A395" i="8"/>
  <c r="A396" i="8"/>
  <c r="A397" i="8"/>
  <c r="A398" i="8"/>
  <c r="A399" i="8"/>
  <c r="A400" i="8"/>
  <c r="A401" i="8"/>
  <c r="A402" i="8"/>
  <c r="A403" i="8"/>
  <c r="A404" i="8"/>
  <c r="A405" i="8"/>
  <c r="A406" i="8"/>
  <c r="A407" i="8"/>
  <c r="A408" i="8"/>
  <c r="A409" i="8"/>
  <c r="A410" i="8"/>
  <c r="A411" i="8"/>
  <c r="A412" i="8"/>
  <c r="A413" i="8"/>
  <c r="A414" i="8"/>
  <c r="A415" i="8"/>
  <c r="A416" i="8"/>
  <c r="A417" i="8"/>
  <c r="A418" i="8"/>
  <c r="A419" i="8"/>
  <c r="A420" i="8"/>
  <c r="A421" i="8"/>
  <c r="A422" i="8"/>
  <c r="A423" i="8"/>
  <c r="A424" i="8"/>
  <c r="A425" i="8"/>
  <c r="A426" i="8"/>
  <c r="A427" i="8"/>
  <c r="A428" i="8"/>
  <c r="A429" i="8"/>
  <c r="A430" i="8"/>
  <c r="A431" i="8"/>
  <c r="A432" i="8"/>
  <c r="A433" i="8"/>
  <c r="A434" i="8"/>
  <c r="A435" i="8"/>
  <c r="A436" i="8"/>
  <c r="A437" i="8"/>
  <c r="A438" i="8"/>
  <c r="A439" i="8"/>
  <c r="A440" i="8"/>
  <c r="A441" i="8"/>
  <c r="A442" i="8"/>
  <c r="A443" i="8"/>
  <c r="A444" i="8"/>
  <c r="A445" i="8"/>
  <c r="A446" i="8"/>
  <c r="A447" i="8"/>
  <c r="A448" i="8"/>
  <c r="A449" i="8"/>
  <c r="A450" i="8"/>
  <c r="A451" i="8"/>
  <c r="A452" i="8"/>
  <c r="A453" i="8"/>
  <c r="A454" i="8"/>
  <c r="A455" i="8"/>
  <c r="A456" i="8"/>
  <c r="A457" i="8"/>
  <c r="A458" i="8"/>
  <c r="A459" i="8"/>
  <c r="A460" i="8"/>
  <c r="A461" i="8"/>
  <c r="A462" i="8"/>
  <c r="A463" i="8"/>
  <c r="A464" i="8"/>
  <c r="A465" i="8"/>
  <c r="A466" i="8"/>
  <c r="A467" i="8"/>
  <c r="A468" i="8"/>
  <c r="A469" i="8"/>
  <c r="A470" i="8"/>
  <c r="A471" i="8"/>
  <c r="A472" i="8"/>
  <c r="A473" i="8"/>
  <c r="A474" i="8"/>
  <c r="A475" i="8"/>
  <c r="A476" i="8"/>
  <c r="A477" i="8"/>
  <c r="A478" i="8"/>
  <c r="A479" i="8"/>
  <c r="A480" i="8"/>
  <c r="A481" i="8"/>
  <c r="A482" i="8"/>
  <c r="A483" i="8"/>
  <c r="A484" i="8"/>
  <c r="A485" i="8"/>
  <c r="A486" i="8"/>
  <c r="A487" i="8"/>
  <c r="A488" i="8"/>
  <c r="A489" i="8"/>
  <c r="A490" i="8"/>
  <c r="A491" i="8"/>
  <c r="A492" i="8"/>
  <c r="A493" i="8"/>
  <c r="A494" i="8"/>
  <c r="A495" i="8"/>
  <c r="A496" i="8"/>
  <c r="A497" i="8"/>
  <c r="A498" i="8"/>
  <c r="A499" i="8"/>
  <c r="A500" i="8"/>
  <c r="A501" i="8"/>
  <c r="A502" i="8"/>
  <c r="A503" i="8"/>
  <c r="A504" i="8"/>
  <c r="A505" i="8"/>
  <c r="A506" i="8"/>
  <c r="A507" i="8"/>
  <c r="A508" i="8"/>
  <c r="A509" i="8"/>
  <c r="A510" i="8"/>
  <c r="C10" i="14" l="1"/>
  <c r="D12" i="14" s="1"/>
  <c r="C10" i="17"/>
  <c r="D12" i="17" s="1"/>
  <c r="C15" i="14"/>
  <c r="C15" i="17"/>
  <c r="C11" i="14"/>
  <c r="C11" i="17"/>
  <c r="C16" i="14"/>
  <c r="C16" i="17"/>
  <c r="F63" i="15"/>
  <c r="F28" i="15"/>
  <c r="C63" i="15"/>
  <c r="B3" i="14"/>
  <c r="B2" i="14"/>
  <c r="B1" i="14"/>
  <c r="AH3" i="2"/>
  <c r="C73" i="15" s="1"/>
  <c r="AH4" i="2"/>
  <c r="C74" i="15" s="1"/>
  <c r="AH5" i="2"/>
  <c r="C75" i="15" s="1"/>
  <c r="C45" i="17" s="1"/>
  <c r="E45" i="17" s="1"/>
  <c r="F45" i="17" s="1"/>
  <c r="AH6" i="2"/>
  <c r="C76" i="15" s="1"/>
  <c r="AH7" i="2"/>
  <c r="C77" i="15" s="1"/>
  <c r="AH8" i="2"/>
  <c r="C78" i="15" s="1"/>
  <c r="C62" i="17" s="1"/>
  <c r="E62" i="17" s="1"/>
  <c r="F62" i="17" s="1"/>
  <c r="AH9" i="2"/>
  <c r="C79" i="15" s="1"/>
  <c r="AH2" i="2"/>
  <c r="C72" i="15" s="1"/>
  <c r="AE5" i="2"/>
  <c r="F45" i="15" s="1"/>
  <c r="AE6" i="2"/>
  <c r="F46" i="15" s="1"/>
  <c r="AE7" i="2"/>
  <c r="F47" i="15" s="1"/>
  <c r="AE13" i="2"/>
  <c r="F53" i="15" s="1"/>
  <c r="AE14" i="2"/>
  <c r="F54" i="15" s="1"/>
  <c r="AE16" i="2"/>
  <c r="F56" i="15" s="1"/>
  <c r="AE18" i="2"/>
  <c r="F58" i="15" s="1"/>
  <c r="AE20" i="2"/>
  <c r="F60" i="15" s="1"/>
  <c r="AD5" i="2"/>
  <c r="E45" i="15" s="1"/>
  <c r="AD6" i="2"/>
  <c r="E46" i="15" s="1"/>
  <c r="AD8" i="2"/>
  <c r="E48" i="15" s="1"/>
  <c r="AD9" i="2"/>
  <c r="E49" i="15" s="1"/>
  <c r="AD10" i="2"/>
  <c r="E50" i="15" s="1"/>
  <c r="AD11" i="2"/>
  <c r="E51" i="15" s="1"/>
  <c r="AD13" i="2"/>
  <c r="E53" i="15" s="1"/>
  <c r="AD14" i="2"/>
  <c r="E54" i="15" s="1"/>
  <c r="AD16" i="2"/>
  <c r="E56" i="15" s="1"/>
  <c r="AD18" i="2"/>
  <c r="E58" i="15" s="1"/>
  <c r="AD19" i="2"/>
  <c r="E59" i="15" s="1"/>
  <c r="Q4" i="12"/>
  <c r="S4" i="12"/>
  <c r="T4" i="12"/>
  <c r="U4" i="12"/>
  <c r="V4" i="12"/>
  <c r="W4" i="12"/>
  <c r="Y4" i="12"/>
  <c r="M4" i="12"/>
  <c r="D11" i="16" s="1"/>
  <c r="Q511" i="12"/>
  <c r="Q5" i="12" s="1"/>
  <c r="S511" i="12"/>
  <c r="S5" i="12" s="1"/>
  <c r="T511" i="12"/>
  <c r="T5" i="12" s="1"/>
  <c r="U511" i="12"/>
  <c r="U5" i="12" s="1"/>
  <c r="V511" i="12"/>
  <c r="V5" i="12" s="1"/>
  <c r="W511" i="12"/>
  <c r="W5" i="12" s="1"/>
  <c r="Y511" i="12"/>
  <c r="Y5" i="12" s="1"/>
  <c r="M511" i="12"/>
  <c r="M5" i="12" s="1"/>
  <c r="E50" i="4"/>
  <c r="E48" i="4"/>
  <c r="E47" i="4"/>
  <c r="E53" i="4"/>
  <c r="E54" i="4"/>
  <c r="H16" i="5"/>
  <c r="H17" i="5"/>
  <c r="H18" i="5"/>
  <c r="H19" i="5"/>
  <c r="H20" i="5"/>
  <c r="H21"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62" i="5"/>
  <c r="H63" i="5"/>
  <c r="H64" i="5"/>
  <c r="H15" i="5"/>
  <c r="J10" i="6"/>
  <c r="J11" i="6"/>
  <c r="J12" i="6"/>
  <c r="J13" i="6"/>
  <c r="J14" i="6"/>
  <c r="J15" i="6"/>
  <c r="J16" i="6"/>
  <c r="J17" i="6"/>
  <c r="J18" i="6"/>
  <c r="J19" i="6"/>
  <c r="J20" i="6"/>
  <c r="J21" i="6"/>
  <c r="J22" i="6"/>
  <c r="J23" i="6"/>
  <c r="J24" i="6"/>
  <c r="J25" i="6"/>
  <c r="J26" i="6"/>
  <c r="J27" i="6"/>
  <c r="J28" i="6"/>
  <c r="J29" i="6"/>
  <c r="J30" i="6"/>
  <c r="J31" i="6"/>
  <c r="J32" i="6"/>
  <c r="J33" i="6"/>
  <c r="J34" i="6"/>
  <c r="J35" i="6"/>
  <c r="J36" i="6"/>
  <c r="J37" i="6"/>
  <c r="J38" i="6"/>
  <c r="J39" i="6"/>
  <c r="J40" i="6"/>
  <c r="J41" i="6"/>
  <c r="J42" i="6"/>
  <c r="J43" i="6"/>
  <c r="J44" i="6"/>
  <c r="J45" i="6"/>
  <c r="J46" i="6"/>
  <c r="J47" i="6"/>
  <c r="J48" i="6"/>
  <c r="J49" i="6"/>
  <c r="J50" i="6"/>
  <c r="J51" i="6"/>
  <c r="J52" i="6"/>
  <c r="J53" i="6"/>
  <c r="J54" i="6"/>
  <c r="J55" i="6"/>
  <c r="J56" i="6"/>
  <c r="J57" i="6"/>
  <c r="J58" i="6"/>
  <c r="J59" i="6"/>
  <c r="J60" i="6"/>
  <c r="J61" i="6"/>
  <c r="J62" i="6"/>
  <c r="J63" i="6"/>
  <c r="J64" i="6"/>
  <c r="J65" i="6"/>
  <c r="J66" i="6"/>
  <c r="J67" i="6"/>
  <c r="J68" i="6"/>
  <c r="J69" i="6"/>
  <c r="J70" i="6"/>
  <c r="J71" i="6"/>
  <c r="J72" i="6"/>
  <c r="J73" i="6"/>
  <c r="J74" i="6"/>
  <c r="J75" i="6"/>
  <c r="J76" i="6"/>
  <c r="J77" i="6"/>
  <c r="J78" i="6"/>
  <c r="J79" i="6"/>
  <c r="J80" i="6"/>
  <c r="J81" i="6"/>
  <c r="J82" i="6"/>
  <c r="J83" i="6"/>
  <c r="J84" i="6"/>
  <c r="J85" i="6"/>
  <c r="J86" i="6"/>
  <c r="J87" i="6"/>
  <c r="J88" i="6"/>
  <c r="J89" i="6"/>
  <c r="J90" i="6"/>
  <c r="J91" i="6"/>
  <c r="J92" i="6"/>
  <c r="J93" i="6"/>
  <c r="J94" i="6"/>
  <c r="J95" i="6"/>
  <c r="J96" i="6"/>
  <c r="J97" i="6"/>
  <c r="J98" i="6"/>
  <c r="J99" i="6"/>
  <c r="J100" i="6"/>
  <c r="J101" i="6"/>
  <c r="J102" i="6"/>
  <c r="J103" i="6"/>
  <c r="J104" i="6"/>
  <c r="J105" i="6"/>
  <c r="J106" i="6"/>
  <c r="J107" i="6"/>
  <c r="J108" i="6"/>
  <c r="J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H68" i="6"/>
  <c r="H69" i="6"/>
  <c r="H70" i="6"/>
  <c r="H71" i="6"/>
  <c r="H72" i="6"/>
  <c r="H73" i="6"/>
  <c r="H74" i="6"/>
  <c r="H75" i="6"/>
  <c r="H76" i="6"/>
  <c r="H77" i="6"/>
  <c r="H78" i="6"/>
  <c r="H79" i="6"/>
  <c r="H80" i="6"/>
  <c r="H81" i="6"/>
  <c r="H82" i="6"/>
  <c r="H83" i="6"/>
  <c r="H84" i="6"/>
  <c r="H85" i="6"/>
  <c r="H86" i="6"/>
  <c r="H87" i="6"/>
  <c r="H88" i="6"/>
  <c r="H89" i="6"/>
  <c r="H90" i="6"/>
  <c r="H91" i="6"/>
  <c r="H92" i="6"/>
  <c r="H93" i="6"/>
  <c r="H94" i="6"/>
  <c r="H95" i="6"/>
  <c r="H96" i="6"/>
  <c r="H97" i="6"/>
  <c r="H98" i="6"/>
  <c r="H99" i="6"/>
  <c r="H100" i="6"/>
  <c r="H101" i="6"/>
  <c r="H102" i="6"/>
  <c r="H103" i="6"/>
  <c r="H104" i="6"/>
  <c r="H105" i="6"/>
  <c r="H106" i="6"/>
  <c r="H107" i="6"/>
  <c r="H108" i="6"/>
  <c r="H9" i="6"/>
  <c r="O4" i="8"/>
  <c r="C72" i="4" s="1"/>
  <c r="Q4" i="8"/>
  <c r="R4" i="8"/>
  <c r="S4" i="8"/>
  <c r="T4" i="8"/>
  <c r="U4" i="8"/>
  <c r="V4" i="8"/>
  <c r="C71" i="4" s="1"/>
  <c r="H185" i="15" s="1"/>
  <c r="J185" i="15" s="1"/>
  <c r="K185" i="15" s="1"/>
  <c r="X4" i="8"/>
  <c r="Z4" i="8"/>
  <c r="K4" i="8"/>
  <c r="D10" i="16" s="1"/>
  <c r="D6" i="7"/>
  <c r="D101" i="13"/>
  <c r="D7" i="13" s="1"/>
  <c r="G101" i="13"/>
  <c r="B3" i="13"/>
  <c r="B5" i="13" s="1"/>
  <c r="B2" i="13"/>
  <c r="B1" i="13"/>
  <c r="X8" i="12"/>
  <c r="X9" i="12"/>
  <c r="X10" i="12"/>
  <c r="X11" i="12"/>
  <c r="X12" i="12"/>
  <c r="X13" i="12"/>
  <c r="X14" i="12"/>
  <c r="X15" i="12"/>
  <c r="X16" i="12"/>
  <c r="X17" i="12"/>
  <c r="X18" i="12"/>
  <c r="X19" i="12"/>
  <c r="X20" i="12"/>
  <c r="X21" i="12"/>
  <c r="X22" i="12"/>
  <c r="X23" i="12"/>
  <c r="X24" i="12"/>
  <c r="X25" i="12"/>
  <c r="X26" i="12"/>
  <c r="X27" i="12"/>
  <c r="X28" i="12"/>
  <c r="X29" i="12"/>
  <c r="X30" i="12"/>
  <c r="X31" i="12"/>
  <c r="X32" i="12"/>
  <c r="X33" i="12"/>
  <c r="X34" i="12"/>
  <c r="X35" i="12"/>
  <c r="X36" i="12"/>
  <c r="X37" i="12"/>
  <c r="X38" i="12"/>
  <c r="X39" i="12"/>
  <c r="X40" i="12"/>
  <c r="X41" i="12"/>
  <c r="X42" i="12"/>
  <c r="X43" i="12"/>
  <c r="X44" i="12"/>
  <c r="X45" i="12"/>
  <c r="X46" i="12"/>
  <c r="X47" i="12"/>
  <c r="X48" i="12"/>
  <c r="X49" i="12"/>
  <c r="X50" i="12"/>
  <c r="X51" i="12"/>
  <c r="X52" i="12"/>
  <c r="X53" i="12"/>
  <c r="X54" i="12"/>
  <c r="X55" i="12"/>
  <c r="X56" i="12"/>
  <c r="X57" i="12"/>
  <c r="X58" i="12"/>
  <c r="X59" i="12"/>
  <c r="X60" i="12"/>
  <c r="X61" i="12"/>
  <c r="X62" i="12"/>
  <c r="X63" i="12"/>
  <c r="X64" i="12"/>
  <c r="X65" i="12"/>
  <c r="X66" i="12"/>
  <c r="X67" i="12"/>
  <c r="X68" i="12"/>
  <c r="X69" i="12"/>
  <c r="X70" i="12"/>
  <c r="X71" i="12"/>
  <c r="X72" i="12"/>
  <c r="X73" i="12"/>
  <c r="X74" i="12"/>
  <c r="X75" i="12"/>
  <c r="X76" i="12"/>
  <c r="X77" i="12"/>
  <c r="X78" i="12"/>
  <c r="X79" i="12"/>
  <c r="X80" i="12"/>
  <c r="X81" i="12"/>
  <c r="X82" i="12"/>
  <c r="X83" i="12"/>
  <c r="X84" i="12"/>
  <c r="X85" i="12"/>
  <c r="X86" i="12"/>
  <c r="X87" i="12"/>
  <c r="X88" i="12"/>
  <c r="X89" i="12"/>
  <c r="X90" i="12"/>
  <c r="X91" i="12"/>
  <c r="X92" i="12"/>
  <c r="X93" i="12"/>
  <c r="X94" i="12"/>
  <c r="X95" i="12"/>
  <c r="X96" i="12"/>
  <c r="X97" i="12"/>
  <c r="X98" i="12"/>
  <c r="X99" i="12"/>
  <c r="X100" i="12"/>
  <c r="X101" i="12"/>
  <c r="X102" i="12"/>
  <c r="X103" i="12"/>
  <c r="X104" i="12"/>
  <c r="X105" i="12"/>
  <c r="X106" i="12"/>
  <c r="X107" i="12"/>
  <c r="X108" i="12"/>
  <c r="X109" i="12"/>
  <c r="X110" i="12"/>
  <c r="X111" i="12"/>
  <c r="X112" i="12"/>
  <c r="X113" i="12"/>
  <c r="X114" i="12"/>
  <c r="X115" i="12"/>
  <c r="X116" i="12"/>
  <c r="X117" i="12"/>
  <c r="X118" i="12"/>
  <c r="X119" i="12"/>
  <c r="X120" i="12"/>
  <c r="X121" i="12"/>
  <c r="X122" i="12"/>
  <c r="X123" i="12"/>
  <c r="X124" i="12"/>
  <c r="X125" i="12"/>
  <c r="X126" i="12"/>
  <c r="X127" i="12"/>
  <c r="X128" i="12"/>
  <c r="X129" i="12"/>
  <c r="X130" i="12"/>
  <c r="X131" i="12"/>
  <c r="X132" i="12"/>
  <c r="X133" i="12"/>
  <c r="X134" i="12"/>
  <c r="X135" i="12"/>
  <c r="X136" i="12"/>
  <c r="X137" i="12"/>
  <c r="X138" i="12"/>
  <c r="X139" i="12"/>
  <c r="X140" i="12"/>
  <c r="X141" i="12"/>
  <c r="X142" i="12"/>
  <c r="X143" i="12"/>
  <c r="X144" i="12"/>
  <c r="X145" i="12"/>
  <c r="X146" i="12"/>
  <c r="X147" i="12"/>
  <c r="X148" i="12"/>
  <c r="X149" i="12"/>
  <c r="X150" i="12"/>
  <c r="X151" i="12"/>
  <c r="X152" i="12"/>
  <c r="X153" i="12"/>
  <c r="X154" i="12"/>
  <c r="X155" i="12"/>
  <c r="X156" i="12"/>
  <c r="X157" i="12"/>
  <c r="X158" i="12"/>
  <c r="X159" i="12"/>
  <c r="X160" i="12"/>
  <c r="X161" i="12"/>
  <c r="X162" i="12"/>
  <c r="X163" i="12"/>
  <c r="X164" i="12"/>
  <c r="X165" i="12"/>
  <c r="X166" i="12"/>
  <c r="X167" i="12"/>
  <c r="X168" i="12"/>
  <c r="X169" i="12"/>
  <c r="X170" i="12"/>
  <c r="X171" i="12"/>
  <c r="X172" i="12"/>
  <c r="X173" i="12"/>
  <c r="X174" i="12"/>
  <c r="X175" i="12"/>
  <c r="X176" i="12"/>
  <c r="X177" i="12"/>
  <c r="X178" i="12"/>
  <c r="X179" i="12"/>
  <c r="X180" i="12"/>
  <c r="X181" i="12"/>
  <c r="X182" i="12"/>
  <c r="X183" i="12"/>
  <c r="X184" i="12"/>
  <c r="X185" i="12"/>
  <c r="X186" i="12"/>
  <c r="X187" i="12"/>
  <c r="X188" i="12"/>
  <c r="X189" i="12"/>
  <c r="X190" i="12"/>
  <c r="X191" i="12"/>
  <c r="X192" i="12"/>
  <c r="X193" i="12"/>
  <c r="X194" i="12"/>
  <c r="X195" i="12"/>
  <c r="X196" i="12"/>
  <c r="X197" i="12"/>
  <c r="X198" i="12"/>
  <c r="X199" i="12"/>
  <c r="X200" i="12"/>
  <c r="X201" i="12"/>
  <c r="X202" i="12"/>
  <c r="X203" i="12"/>
  <c r="X204" i="12"/>
  <c r="X205" i="12"/>
  <c r="X206" i="12"/>
  <c r="X207" i="12"/>
  <c r="X208" i="12"/>
  <c r="X209" i="12"/>
  <c r="X210" i="12"/>
  <c r="X211" i="12"/>
  <c r="X212" i="12"/>
  <c r="X213" i="12"/>
  <c r="X214" i="12"/>
  <c r="X215" i="12"/>
  <c r="X216" i="12"/>
  <c r="X217" i="12"/>
  <c r="X218" i="12"/>
  <c r="X219" i="12"/>
  <c r="X220" i="12"/>
  <c r="X221" i="12"/>
  <c r="X222" i="12"/>
  <c r="X223" i="12"/>
  <c r="X224" i="12"/>
  <c r="X225" i="12"/>
  <c r="X226" i="12"/>
  <c r="X227" i="12"/>
  <c r="X228" i="12"/>
  <c r="X229" i="12"/>
  <c r="X230" i="12"/>
  <c r="X231" i="12"/>
  <c r="X232" i="12"/>
  <c r="X233" i="12"/>
  <c r="X234" i="12"/>
  <c r="X235" i="12"/>
  <c r="X236" i="12"/>
  <c r="X237" i="12"/>
  <c r="X238" i="12"/>
  <c r="X239" i="12"/>
  <c r="X240" i="12"/>
  <c r="X241" i="12"/>
  <c r="X242" i="12"/>
  <c r="X243" i="12"/>
  <c r="X244" i="12"/>
  <c r="X245" i="12"/>
  <c r="X246" i="12"/>
  <c r="X247" i="12"/>
  <c r="X248" i="12"/>
  <c r="X249" i="12"/>
  <c r="X250" i="12"/>
  <c r="X251" i="12"/>
  <c r="X252" i="12"/>
  <c r="X253" i="12"/>
  <c r="X254" i="12"/>
  <c r="X255" i="12"/>
  <c r="X256" i="12"/>
  <c r="X257" i="12"/>
  <c r="X258" i="12"/>
  <c r="X259" i="12"/>
  <c r="X260" i="12"/>
  <c r="X261" i="12"/>
  <c r="X262" i="12"/>
  <c r="X263" i="12"/>
  <c r="X264" i="12"/>
  <c r="X265" i="12"/>
  <c r="X266" i="12"/>
  <c r="X267" i="12"/>
  <c r="X268" i="12"/>
  <c r="X269" i="12"/>
  <c r="X270" i="12"/>
  <c r="X271" i="12"/>
  <c r="X272" i="12"/>
  <c r="X273" i="12"/>
  <c r="X274" i="12"/>
  <c r="X275" i="12"/>
  <c r="X276" i="12"/>
  <c r="X277" i="12"/>
  <c r="X278" i="12"/>
  <c r="X279" i="12"/>
  <c r="X280" i="12"/>
  <c r="X281" i="12"/>
  <c r="X282" i="12"/>
  <c r="X283" i="12"/>
  <c r="X284" i="12"/>
  <c r="X285" i="12"/>
  <c r="X286" i="12"/>
  <c r="X287" i="12"/>
  <c r="X288" i="12"/>
  <c r="X289" i="12"/>
  <c r="X290" i="12"/>
  <c r="X291" i="12"/>
  <c r="X292" i="12"/>
  <c r="X293" i="12"/>
  <c r="X294" i="12"/>
  <c r="X295" i="12"/>
  <c r="X296" i="12"/>
  <c r="X297" i="12"/>
  <c r="X298" i="12"/>
  <c r="X299" i="12"/>
  <c r="X300" i="12"/>
  <c r="X301" i="12"/>
  <c r="X302" i="12"/>
  <c r="X303" i="12"/>
  <c r="X304" i="12"/>
  <c r="X305" i="12"/>
  <c r="X306" i="12"/>
  <c r="X307" i="12"/>
  <c r="X308" i="12"/>
  <c r="X309" i="12"/>
  <c r="X310" i="12"/>
  <c r="X311" i="12"/>
  <c r="X312" i="12"/>
  <c r="X313" i="12"/>
  <c r="X314" i="12"/>
  <c r="X315" i="12"/>
  <c r="X316" i="12"/>
  <c r="X317" i="12"/>
  <c r="X318" i="12"/>
  <c r="X319" i="12"/>
  <c r="X320" i="12"/>
  <c r="X321" i="12"/>
  <c r="X322" i="12"/>
  <c r="X323" i="12"/>
  <c r="X324" i="12"/>
  <c r="X325" i="12"/>
  <c r="X326" i="12"/>
  <c r="X327" i="12"/>
  <c r="X328" i="12"/>
  <c r="X329" i="12"/>
  <c r="X330" i="12"/>
  <c r="X331" i="12"/>
  <c r="X332" i="12"/>
  <c r="X333" i="12"/>
  <c r="X334" i="12"/>
  <c r="X335" i="12"/>
  <c r="X336" i="12"/>
  <c r="X337" i="12"/>
  <c r="X338" i="12"/>
  <c r="X339" i="12"/>
  <c r="X340" i="12"/>
  <c r="X341" i="12"/>
  <c r="X342" i="12"/>
  <c r="X343" i="12"/>
  <c r="X344" i="12"/>
  <c r="X345" i="12"/>
  <c r="X346" i="12"/>
  <c r="X347" i="12"/>
  <c r="X348" i="12"/>
  <c r="X349" i="12"/>
  <c r="X350" i="12"/>
  <c r="X351" i="12"/>
  <c r="X352" i="12"/>
  <c r="X353" i="12"/>
  <c r="X354" i="12"/>
  <c r="X355" i="12"/>
  <c r="X356" i="12"/>
  <c r="X357" i="12"/>
  <c r="X358" i="12"/>
  <c r="X359" i="12"/>
  <c r="X360" i="12"/>
  <c r="X361" i="12"/>
  <c r="X362" i="12"/>
  <c r="X363" i="12"/>
  <c r="X364" i="12"/>
  <c r="X365" i="12"/>
  <c r="X366" i="12"/>
  <c r="X367" i="12"/>
  <c r="X368" i="12"/>
  <c r="X369" i="12"/>
  <c r="X370" i="12"/>
  <c r="X371" i="12"/>
  <c r="X372" i="12"/>
  <c r="X373" i="12"/>
  <c r="X374" i="12"/>
  <c r="X375" i="12"/>
  <c r="X376" i="12"/>
  <c r="X377" i="12"/>
  <c r="X378" i="12"/>
  <c r="X379" i="12"/>
  <c r="X380" i="12"/>
  <c r="X381" i="12"/>
  <c r="X382" i="12"/>
  <c r="X383" i="12"/>
  <c r="X384" i="12"/>
  <c r="X385" i="12"/>
  <c r="X386" i="12"/>
  <c r="X387" i="12"/>
  <c r="X388" i="12"/>
  <c r="X389" i="12"/>
  <c r="X390" i="12"/>
  <c r="X391" i="12"/>
  <c r="X392" i="12"/>
  <c r="X393" i="12"/>
  <c r="X394" i="12"/>
  <c r="X395" i="12"/>
  <c r="X396" i="12"/>
  <c r="X397" i="12"/>
  <c r="X398" i="12"/>
  <c r="X399" i="12"/>
  <c r="X400" i="12"/>
  <c r="X401" i="12"/>
  <c r="X402" i="12"/>
  <c r="X403" i="12"/>
  <c r="X404" i="12"/>
  <c r="X405" i="12"/>
  <c r="X406" i="12"/>
  <c r="X407" i="12"/>
  <c r="X408" i="12"/>
  <c r="X409" i="12"/>
  <c r="X410" i="12"/>
  <c r="X411" i="12"/>
  <c r="X412" i="12"/>
  <c r="X413" i="12"/>
  <c r="X414" i="12"/>
  <c r="X415" i="12"/>
  <c r="X416" i="12"/>
  <c r="X417" i="12"/>
  <c r="X418" i="12"/>
  <c r="X419" i="12"/>
  <c r="X420" i="12"/>
  <c r="X421" i="12"/>
  <c r="X422" i="12"/>
  <c r="X423" i="12"/>
  <c r="X424" i="12"/>
  <c r="X425" i="12"/>
  <c r="X426" i="12"/>
  <c r="X427" i="12"/>
  <c r="X428" i="12"/>
  <c r="X429" i="12"/>
  <c r="X430" i="12"/>
  <c r="X431" i="12"/>
  <c r="X432" i="12"/>
  <c r="X433" i="12"/>
  <c r="X434" i="12"/>
  <c r="X435" i="12"/>
  <c r="X436" i="12"/>
  <c r="X437" i="12"/>
  <c r="X438" i="12"/>
  <c r="X439" i="12"/>
  <c r="X440" i="12"/>
  <c r="X441" i="12"/>
  <c r="X442" i="12"/>
  <c r="X443" i="12"/>
  <c r="X444" i="12"/>
  <c r="X445" i="12"/>
  <c r="X446" i="12"/>
  <c r="X447" i="12"/>
  <c r="X448" i="12"/>
  <c r="X449" i="12"/>
  <c r="X450" i="12"/>
  <c r="X451" i="12"/>
  <c r="X452" i="12"/>
  <c r="X453" i="12"/>
  <c r="X454" i="12"/>
  <c r="X455" i="12"/>
  <c r="X456" i="12"/>
  <c r="X457" i="12"/>
  <c r="X458" i="12"/>
  <c r="X459" i="12"/>
  <c r="X460" i="12"/>
  <c r="X461" i="12"/>
  <c r="X462" i="12"/>
  <c r="X463" i="12"/>
  <c r="X464" i="12"/>
  <c r="X465" i="12"/>
  <c r="X466" i="12"/>
  <c r="X467" i="12"/>
  <c r="X468" i="12"/>
  <c r="X469" i="12"/>
  <c r="X470" i="12"/>
  <c r="X471" i="12"/>
  <c r="X472" i="12"/>
  <c r="X473" i="12"/>
  <c r="X474" i="12"/>
  <c r="X475" i="12"/>
  <c r="X476" i="12"/>
  <c r="X477" i="12"/>
  <c r="X478" i="12"/>
  <c r="X479" i="12"/>
  <c r="X480" i="12"/>
  <c r="X481" i="12"/>
  <c r="X482" i="12"/>
  <c r="X483" i="12"/>
  <c r="X484" i="12"/>
  <c r="X485" i="12"/>
  <c r="X486" i="12"/>
  <c r="X487" i="12"/>
  <c r="X488" i="12"/>
  <c r="X489" i="12"/>
  <c r="X490" i="12"/>
  <c r="X491" i="12"/>
  <c r="X492" i="12"/>
  <c r="X493" i="12"/>
  <c r="X494" i="12"/>
  <c r="X495" i="12"/>
  <c r="X496" i="12"/>
  <c r="X497" i="12"/>
  <c r="X498" i="12"/>
  <c r="X499" i="12"/>
  <c r="X500" i="12"/>
  <c r="X501" i="12"/>
  <c r="X502" i="12"/>
  <c r="X503" i="12"/>
  <c r="X504" i="12"/>
  <c r="X505" i="12"/>
  <c r="X506" i="12"/>
  <c r="X507" i="12"/>
  <c r="X508" i="12"/>
  <c r="X509" i="12"/>
  <c r="X510" i="12"/>
  <c r="AE4" i="2"/>
  <c r="F44" i="15" s="1"/>
  <c r="B3" i="12"/>
  <c r="B2" i="12"/>
  <c r="B1" i="12"/>
  <c r="Q511" i="8"/>
  <c r="Q5" i="8" s="1"/>
  <c r="R511" i="8"/>
  <c r="R5" i="8" s="1"/>
  <c r="S511" i="8"/>
  <c r="S5" i="8" s="1"/>
  <c r="T511" i="8"/>
  <c r="T5" i="8" s="1"/>
  <c r="U511" i="8"/>
  <c r="U5" i="8" s="1"/>
  <c r="V511" i="8"/>
  <c r="V5" i="8" s="1"/>
  <c r="X511" i="8"/>
  <c r="X5" i="8" s="1"/>
  <c r="Z511" i="8"/>
  <c r="Z5" i="8" s="1"/>
  <c r="O511" i="8"/>
  <c r="O5" i="8" s="1"/>
  <c r="K511" i="8"/>
  <c r="K5" i="8" s="1"/>
  <c r="AH511" i="8"/>
  <c r="B4" i="10"/>
  <c r="D12" i="10"/>
  <c r="C12" i="10"/>
  <c r="D10" i="10"/>
  <c r="C10" i="10"/>
  <c r="D9" i="10"/>
  <c r="C9" i="10"/>
  <c r="D8" i="10"/>
  <c r="C8" i="10"/>
  <c r="D7" i="10"/>
  <c r="C7" i="10"/>
  <c r="F6" i="10"/>
  <c r="E6" i="10"/>
  <c r="C73" i="4" l="1"/>
  <c r="C186" i="15" s="1"/>
  <c r="H186" i="15"/>
  <c r="J186" i="15" s="1"/>
  <c r="K186" i="15" s="1"/>
  <c r="Z9" i="12"/>
  <c r="AD9" i="12"/>
  <c r="Z8" i="12"/>
  <c r="AD8" i="12"/>
  <c r="AC8" i="12"/>
  <c r="C13" i="17"/>
  <c r="C13" i="14"/>
  <c r="C55" i="14"/>
  <c r="E55" i="14" s="1"/>
  <c r="C55" i="17"/>
  <c r="E55" i="17" s="1"/>
  <c r="F55" i="17" s="1"/>
  <c r="D77" i="14"/>
  <c r="D72" i="17"/>
  <c r="C52" i="14"/>
  <c r="E52" i="14" s="1"/>
  <c r="C52" i="17"/>
  <c r="E52" i="17" s="1"/>
  <c r="F52" i="17" s="1"/>
  <c r="C49" i="14"/>
  <c r="E49" i="14" s="1"/>
  <c r="C49" i="17"/>
  <c r="E49" i="17" s="1"/>
  <c r="F49" i="17" s="1"/>
  <c r="D78" i="14"/>
  <c r="D73" i="17"/>
  <c r="C54" i="14"/>
  <c r="C54" i="17"/>
  <c r="C66" i="15"/>
  <c r="C62" i="14"/>
  <c r="E62" i="14" s="1"/>
  <c r="AD15" i="2"/>
  <c r="E55" i="15" s="1"/>
  <c r="AD3" i="2"/>
  <c r="E43" i="15" s="1"/>
  <c r="AD17" i="2"/>
  <c r="E57" i="15" s="1"/>
  <c r="E7" i="10"/>
  <c r="F7" i="10"/>
  <c r="F8" i="10" s="1"/>
  <c r="F9" i="10" s="1"/>
  <c r="F10" i="10" s="1"/>
  <c r="F11" i="10" s="1"/>
  <c r="D13" i="10" s="1"/>
  <c r="C45" i="14"/>
  <c r="E45" i="14" s="1"/>
  <c r="D12" i="16"/>
  <c r="B12" i="16" s="1"/>
  <c r="AE17" i="2"/>
  <c r="F57" i="15" s="1"/>
  <c r="AE15" i="2"/>
  <c r="F55" i="15" s="1"/>
  <c r="AE3" i="2"/>
  <c r="F43" i="15" s="1"/>
  <c r="AE9" i="2"/>
  <c r="F49" i="15" s="1"/>
  <c r="AE10" i="2"/>
  <c r="F50" i="15" s="1"/>
  <c r="AE11" i="2"/>
  <c r="F51" i="15" s="1"/>
  <c r="AE8" i="2"/>
  <c r="F48" i="15" s="1"/>
  <c r="AE12" i="2"/>
  <c r="F52" i="15" s="1"/>
  <c r="AE19" i="2"/>
  <c r="F59" i="15" s="1"/>
  <c r="AD7" i="2"/>
  <c r="E47" i="15" s="1"/>
  <c r="AD12" i="2"/>
  <c r="E52" i="15" s="1"/>
  <c r="K30" i="15"/>
  <c r="H64" i="15" s="1"/>
  <c r="K29" i="15"/>
  <c r="H63" i="15" s="1"/>
  <c r="AD4" i="2"/>
  <c r="E44" i="15" s="1"/>
  <c r="AD20" i="2"/>
  <c r="E60" i="15" s="1"/>
  <c r="C25" i="14"/>
  <c r="C80" i="15"/>
  <c r="C35" i="15"/>
  <c r="AE2" i="2"/>
  <c r="Y4" i="8"/>
  <c r="AA4" i="8"/>
  <c r="AD2" i="2"/>
  <c r="AH10" i="2"/>
  <c r="X511" i="12"/>
  <c r="X5" i="12" s="1"/>
  <c r="Z4" i="12"/>
  <c r="X4" i="12"/>
  <c r="AA511" i="8"/>
  <c r="AA5" i="8" s="1"/>
  <c r="Y511" i="8"/>
  <c r="Y5" i="8" s="1"/>
  <c r="Z511" i="12" l="1"/>
  <c r="Z5" i="12" s="1"/>
  <c r="F12" i="10"/>
  <c r="F13" i="10" s="1"/>
  <c r="F14" i="10" s="1"/>
  <c r="F15" i="10" s="1"/>
  <c r="F16" i="10" s="1"/>
  <c r="F17" i="10" s="1"/>
  <c r="F18" i="10" s="1"/>
  <c r="AE115" i="2"/>
  <c r="C53" i="14"/>
  <c r="E54" i="17"/>
  <c r="F54" i="17" s="1"/>
  <c r="C53" i="17"/>
  <c r="E53" i="17" s="1"/>
  <c r="F53" i="17" s="1"/>
  <c r="C61" i="14"/>
  <c r="C61" i="17"/>
  <c r="H66" i="15"/>
  <c r="E8" i="10"/>
  <c r="E9" i="10" s="1"/>
  <c r="E10" i="10" s="1"/>
  <c r="E11" i="10" s="1"/>
  <c r="E12" i="10" s="1"/>
  <c r="E13" i="10" s="1"/>
  <c r="E14" i="10" s="1"/>
  <c r="E15" i="10" s="1"/>
  <c r="E16" i="10" s="1"/>
  <c r="E17" i="10" s="1"/>
  <c r="E18" i="10" s="1"/>
  <c r="F112" i="16"/>
  <c r="K127" i="16"/>
  <c r="F127" i="16"/>
  <c r="K126" i="16"/>
  <c r="F126" i="16"/>
  <c r="K112" i="16"/>
  <c r="F88" i="16"/>
  <c r="F24" i="16"/>
  <c r="F84" i="16"/>
  <c r="F20" i="16"/>
  <c r="K70" i="16"/>
  <c r="K22" i="16"/>
  <c r="F83" i="16"/>
  <c r="F31" i="16"/>
  <c r="K85" i="16"/>
  <c r="K69" i="16"/>
  <c r="K53" i="16"/>
  <c r="K37" i="16"/>
  <c r="K21" i="16"/>
  <c r="K100" i="16"/>
  <c r="F44" i="16"/>
  <c r="K86" i="16"/>
  <c r="K38" i="16"/>
  <c r="K105" i="16"/>
  <c r="F55" i="16"/>
  <c r="F123" i="16"/>
  <c r="K18" i="16"/>
  <c r="F82" i="16"/>
  <c r="F66" i="16"/>
  <c r="F50" i="16"/>
  <c r="F34" i="16"/>
  <c r="F97" i="16"/>
  <c r="F114" i="16"/>
  <c r="K96" i="16"/>
  <c r="K80" i="16"/>
  <c r="K64" i="16"/>
  <c r="K48" i="16"/>
  <c r="K32" i="16"/>
  <c r="F96" i="16"/>
  <c r="F32" i="16"/>
  <c r="K78" i="16"/>
  <c r="K30" i="16"/>
  <c r="F87" i="16"/>
  <c r="F39" i="16"/>
  <c r="F110" i="16"/>
  <c r="F89" i="16"/>
  <c r="F73" i="16"/>
  <c r="F57" i="16"/>
  <c r="F41" i="16"/>
  <c r="F25" i="16"/>
  <c r="F121" i="16"/>
  <c r="F104" i="16"/>
  <c r="K87" i="16"/>
  <c r="K71" i="16"/>
  <c r="K55" i="16"/>
  <c r="K39" i="16"/>
  <c r="K23" i="16"/>
  <c r="K115" i="16"/>
  <c r="K98" i="16"/>
  <c r="K125" i="16"/>
  <c r="K129" i="16"/>
  <c r="K111" i="16"/>
  <c r="F40" i="16"/>
  <c r="F54" i="16"/>
  <c r="K36" i="16"/>
  <c r="K101" i="16"/>
  <c r="F93" i="16"/>
  <c r="F72" i="16"/>
  <c r="F120" i="16"/>
  <c r="F68" i="16"/>
  <c r="F116" i="16"/>
  <c r="K58" i="16"/>
  <c r="K122" i="16"/>
  <c r="F71" i="16"/>
  <c r="F129" i="16"/>
  <c r="K81" i="16"/>
  <c r="K65" i="16"/>
  <c r="K49" i="16"/>
  <c r="K33" i="16"/>
  <c r="K131" i="16"/>
  <c r="F92" i="16"/>
  <c r="F28" i="16"/>
  <c r="K74" i="16"/>
  <c r="K26" i="16"/>
  <c r="F91" i="16"/>
  <c r="F43" i="16"/>
  <c r="F115" i="16"/>
  <c r="F94" i="16"/>
  <c r="F78" i="16"/>
  <c r="F62" i="16"/>
  <c r="F46" i="16"/>
  <c r="F30" i="16"/>
  <c r="F128" i="16"/>
  <c r="F109" i="16"/>
  <c r="K92" i="16"/>
  <c r="K76" i="16"/>
  <c r="K60" i="16"/>
  <c r="K44" i="16"/>
  <c r="K28" i="16"/>
  <c r="F80" i="16"/>
  <c r="F130" i="16"/>
  <c r="K66" i="16"/>
  <c r="K97" i="16"/>
  <c r="F75" i="16"/>
  <c r="F27" i="16"/>
  <c r="F102" i="16"/>
  <c r="F85" i="16"/>
  <c r="F69" i="16"/>
  <c r="F53" i="16"/>
  <c r="F37" i="16"/>
  <c r="F21" i="16"/>
  <c r="F117" i="16"/>
  <c r="F100" i="16"/>
  <c r="K83" i="16"/>
  <c r="K67" i="16"/>
  <c r="K51" i="16"/>
  <c r="K35" i="16"/>
  <c r="K19" i="16"/>
  <c r="K110" i="16"/>
  <c r="K121" i="16"/>
  <c r="K124" i="16"/>
  <c r="K107" i="16"/>
  <c r="K94" i="16"/>
  <c r="F38" i="16"/>
  <c r="K52" i="16"/>
  <c r="K90" i="16"/>
  <c r="F119" i="16"/>
  <c r="F56" i="16"/>
  <c r="F103" i="16"/>
  <c r="F52" i="16"/>
  <c r="F99" i="16"/>
  <c r="K46" i="16"/>
  <c r="K109" i="16"/>
  <c r="F59" i="16"/>
  <c r="K93" i="16"/>
  <c r="K77" i="16"/>
  <c r="K61" i="16"/>
  <c r="K45" i="16"/>
  <c r="K29" i="16"/>
  <c r="K108" i="16"/>
  <c r="F76" i="16"/>
  <c r="F124" i="16"/>
  <c r="K62" i="16"/>
  <c r="K128" i="16"/>
  <c r="F79" i="16"/>
  <c r="F35" i="16"/>
  <c r="F106" i="16"/>
  <c r="F90" i="16"/>
  <c r="F74" i="16"/>
  <c r="F58" i="16"/>
  <c r="F42" i="16"/>
  <c r="F26" i="16"/>
  <c r="F122" i="16"/>
  <c r="F105" i="16"/>
  <c r="K88" i="16"/>
  <c r="K72" i="16"/>
  <c r="K56" i="16"/>
  <c r="K40" i="16"/>
  <c r="K24" i="16"/>
  <c r="F64" i="16"/>
  <c r="F111" i="16"/>
  <c r="K54" i="16"/>
  <c r="K118" i="16"/>
  <c r="F63" i="16"/>
  <c r="F19" i="16"/>
  <c r="F18" i="16"/>
  <c r="F81" i="16"/>
  <c r="F65" i="16"/>
  <c r="F49" i="16"/>
  <c r="F33" i="16"/>
  <c r="F131" i="16"/>
  <c r="F113" i="16"/>
  <c r="K95" i="16"/>
  <c r="K79" i="16"/>
  <c r="K63" i="16"/>
  <c r="K47" i="16"/>
  <c r="K31" i="16"/>
  <c r="K123" i="16"/>
  <c r="K106" i="16"/>
  <c r="K117" i="16"/>
  <c r="K120" i="16"/>
  <c r="K103" i="16"/>
  <c r="F36" i="16"/>
  <c r="K82" i="16"/>
  <c r="K34" i="16"/>
  <c r="F95" i="16"/>
  <c r="F47" i="16"/>
  <c r="K89" i="16"/>
  <c r="K73" i="16"/>
  <c r="K57" i="16"/>
  <c r="K41" i="16"/>
  <c r="K25" i="16"/>
  <c r="K104" i="16"/>
  <c r="F60" i="16"/>
  <c r="F107" i="16"/>
  <c r="K50" i="16"/>
  <c r="K114" i="16"/>
  <c r="F67" i="16"/>
  <c r="F23" i="16"/>
  <c r="F98" i="16"/>
  <c r="F86" i="16"/>
  <c r="F70" i="16"/>
  <c r="F22" i="16"/>
  <c r="F118" i="16"/>
  <c r="F101" i="16"/>
  <c r="K84" i="16"/>
  <c r="K68" i="16"/>
  <c r="K20" i="16"/>
  <c r="F48" i="16"/>
  <c r="K42" i="16"/>
  <c r="F51" i="16"/>
  <c r="F77" i="16"/>
  <c r="F125" i="16"/>
  <c r="K59" i="16"/>
  <c r="K102" i="16"/>
  <c r="K99" i="16"/>
  <c r="F61" i="16"/>
  <c r="F108" i="16"/>
  <c r="K43" i="16"/>
  <c r="K130" i="16"/>
  <c r="F29" i="16"/>
  <c r="K119" i="16"/>
  <c r="F45" i="16"/>
  <c r="K91" i="16"/>
  <c r="K27" i="16"/>
  <c r="K113" i="16"/>
  <c r="K75" i="16"/>
  <c r="K116" i="16"/>
  <c r="U75" i="15"/>
  <c r="U8" i="15" s="1"/>
  <c r="R7" i="15"/>
  <c r="R75" i="15"/>
  <c r="R8" i="15" s="1"/>
  <c r="U7" i="15"/>
  <c r="K44" i="15"/>
  <c r="E183" i="15" s="1"/>
  <c r="AE21" i="2"/>
  <c r="F42" i="15"/>
  <c r="F61" i="15" s="1"/>
  <c r="Q75" i="15"/>
  <c r="Q8" i="15" s="1"/>
  <c r="Q7" i="15"/>
  <c r="T7" i="15"/>
  <c r="T75" i="15"/>
  <c r="T8" i="15" s="1"/>
  <c r="AD21" i="2"/>
  <c r="E42" i="15"/>
  <c r="P7" i="12" l="1"/>
  <c r="P8" i="12"/>
  <c r="P9" i="12"/>
  <c r="N7" i="8"/>
  <c r="C34" i="15" s="1"/>
  <c r="C36" i="15" s="1"/>
  <c r="F67" i="15" s="1"/>
  <c r="N8" i="8"/>
  <c r="N9" i="8"/>
  <c r="H68" i="15"/>
  <c r="D60" i="17" s="1"/>
  <c r="B60" i="17"/>
  <c r="E24" i="17"/>
  <c r="F24" i="17" s="1"/>
  <c r="B60" i="14"/>
  <c r="F183" i="15"/>
  <c r="K16" i="16"/>
  <c r="K15" i="16"/>
  <c r="F15" i="16"/>
  <c r="F16" i="16"/>
  <c r="K42" i="15"/>
  <c r="C24" i="14"/>
  <c r="E61" i="15"/>
  <c r="C65" i="15" s="1"/>
  <c r="B3" i="8"/>
  <c r="B2" i="8"/>
  <c r="B1" i="8"/>
  <c r="AC3" i="2"/>
  <c r="C43" i="15" s="1"/>
  <c r="G43" i="15" s="1"/>
  <c r="C29" i="14" s="1"/>
  <c r="AC4" i="2"/>
  <c r="C44" i="15" s="1"/>
  <c r="G44" i="15" s="1"/>
  <c r="C30" i="14" s="1"/>
  <c r="AC5" i="2"/>
  <c r="C45" i="15" s="1"/>
  <c r="G45" i="15" s="1"/>
  <c r="C31" i="14" s="1"/>
  <c r="AC6" i="2"/>
  <c r="C46" i="15" s="1"/>
  <c r="AC7" i="2"/>
  <c r="C47" i="15" s="1"/>
  <c r="G47" i="15" s="1"/>
  <c r="C34" i="14" s="1"/>
  <c r="AC8" i="2"/>
  <c r="C48" i="15" s="1"/>
  <c r="G48" i="15" s="1"/>
  <c r="C35" i="14" s="1"/>
  <c r="AC9" i="2"/>
  <c r="C49" i="15" s="1"/>
  <c r="G49" i="15" s="1"/>
  <c r="C36" i="14" s="1"/>
  <c r="AC10" i="2"/>
  <c r="C50" i="15" s="1"/>
  <c r="G50" i="15" s="1"/>
  <c r="C37" i="14" s="1"/>
  <c r="AC11" i="2"/>
  <c r="C51" i="15" s="1"/>
  <c r="G51" i="15" s="1"/>
  <c r="C38" i="14" s="1"/>
  <c r="AC12" i="2"/>
  <c r="C52" i="15" s="1"/>
  <c r="G52" i="15" s="1"/>
  <c r="C39" i="14" s="1"/>
  <c r="AC13" i="2"/>
  <c r="C53" i="15" s="1"/>
  <c r="G53" i="15" s="1"/>
  <c r="C40" i="14" s="1"/>
  <c r="AC14" i="2"/>
  <c r="C54" i="15" s="1"/>
  <c r="G54" i="15" s="1"/>
  <c r="C41" i="14" s="1"/>
  <c r="AC15" i="2"/>
  <c r="C55" i="15" s="1"/>
  <c r="AC16" i="2"/>
  <c r="C56" i="15" s="1"/>
  <c r="AC17" i="2"/>
  <c r="C57" i="15" s="1"/>
  <c r="AC18" i="2"/>
  <c r="C58" i="15" s="1"/>
  <c r="AC19" i="2"/>
  <c r="C59" i="15" s="1"/>
  <c r="AC20" i="2"/>
  <c r="C60" i="15" s="1"/>
  <c r="C58" i="17" s="1"/>
  <c r="C42" i="15"/>
  <c r="C27" i="14" s="1"/>
  <c r="D502" i="7"/>
  <c r="D7" i="7" s="1"/>
  <c r="B5" i="7"/>
  <c r="B3" i="7"/>
  <c r="B2" i="7"/>
  <c r="B1" i="7"/>
  <c r="H109" i="6"/>
  <c r="H7" i="6" s="1"/>
  <c r="G7" i="6"/>
  <c r="B3" i="6"/>
  <c r="B2" i="6"/>
  <c r="B1" i="6"/>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15" i="5"/>
  <c r="C65" i="5"/>
  <c r="B3" i="5"/>
  <c r="B2" i="5"/>
  <c r="B1" i="5"/>
  <c r="C46" i="4"/>
  <c r="H23" i="15" s="1"/>
  <c r="C20" i="17" l="1"/>
  <c r="C20" i="14"/>
  <c r="P4" i="12"/>
  <c r="P511" i="12"/>
  <c r="P5" i="12" s="1"/>
  <c r="N4" i="8"/>
  <c r="N511" i="8"/>
  <c r="N5" i="8" s="1"/>
  <c r="H69" i="15"/>
  <c r="F101" i="15" s="1"/>
  <c r="D60" i="14"/>
  <c r="C57" i="17"/>
  <c r="F165" i="15"/>
  <c r="E165" i="15"/>
  <c r="G57" i="15"/>
  <c r="C47" i="14" s="1"/>
  <c r="G56" i="15"/>
  <c r="C44" i="14" s="1"/>
  <c r="C58" i="14"/>
  <c r="C57" i="14" s="1"/>
  <c r="K45" i="15"/>
  <c r="K64" i="15"/>
  <c r="K69" i="15" s="1"/>
  <c r="G60" i="15"/>
  <c r="G59" i="15"/>
  <c r="C51" i="14" s="1"/>
  <c r="G55" i="15"/>
  <c r="C43" i="14" s="1"/>
  <c r="G58" i="15"/>
  <c r="C48" i="14" s="1"/>
  <c r="C61" i="15"/>
  <c r="C64" i="15" s="1"/>
  <c r="C67" i="15" s="1"/>
  <c r="G46" i="15"/>
  <c r="C32" i="14" s="1"/>
  <c r="G42" i="15"/>
  <c r="AC21" i="2"/>
  <c r="F65" i="5"/>
  <c r="F13" i="5" s="1"/>
  <c r="C76" i="17" s="1"/>
  <c r="C43" i="4"/>
  <c r="K25" i="15" s="1"/>
  <c r="C21" i="4"/>
  <c r="C27" i="15" s="1"/>
  <c r="C14" i="4"/>
  <c r="C30" i="15" s="1"/>
  <c r="B3" i="4"/>
  <c r="B2" i="4"/>
  <c r="B1" i="4"/>
  <c r="I48" i="3"/>
  <c r="I6" i="3" s="1"/>
  <c r="E32" i="4" s="1"/>
  <c r="B3" i="3"/>
  <c r="B2" i="3"/>
  <c r="B1" i="3"/>
  <c r="C18" i="1"/>
  <c r="C17" i="1"/>
  <c r="E8" i="15"/>
  <c r="B16" i="1"/>
  <c r="E14" i="1"/>
  <c r="F14" i="1"/>
  <c r="E101" i="15" l="1"/>
  <c r="D61" i="14" s="1"/>
  <c r="E61" i="14" s="1"/>
  <c r="C19" i="15"/>
  <c r="F19" i="15" s="1"/>
  <c r="C33" i="14"/>
  <c r="C50" i="14"/>
  <c r="C28" i="17"/>
  <c r="F28" i="14" s="1"/>
  <c r="C33" i="17"/>
  <c r="F33" i="14" s="1"/>
  <c r="C101" i="15"/>
  <c r="D58" i="17" s="1"/>
  <c r="C183" i="15"/>
  <c r="G183" i="15" s="1"/>
  <c r="E9" i="5"/>
  <c r="E10" i="5"/>
  <c r="C28" i="14"/>
  <c r="C69" i="15"/>
  <c r="C104" i="15"/>
  <c r="C81" i="14"/>
  <c r="F65" i="15"/>
  <c r="G61" i="15"/>
  <c r="K43" i="15" s="1"/>
  <c r="L48" i="3"/>
  <c r="L6" i="3" s="1"/>
  <c r="D61" i="17" l="1"/>
  <c r="C42" i="14"/>
  <c r="C46" i="14"/>
  <c r="C18" i="14"/>
  <c r="B18" i="14" s="1"/>
  <c r="C18" i="17"/>
  <c r="B18" i="17" s="1"/>
  <c r="C20" i="15"/>
  <c r="F20" i="15" s="1"/>
  <c r="E58" i="17"/>
  <c r="F58" i="17" s="1"/>
  <c r="C42" i="17"/>
  <c r="F42" i="14" s="1"/>
  <c r="C46" i="17"/>
  <c r="F46" i="14" s="1"/>
  <c r="C50" i="17"/>
  <c r="F50" i="14" s="1"/>
  <c r="C182" i="15"/>
  <c r="C179" i="15"/>
  <c r="C181" i="15"/>
  <c r="E179" i="15"/>
  <c r="C180" i="15"/>
  <c r="C178" i="15"/>
  <c r="F178" i="15"/>
  <c r="F179" i="15"/>
  <c r="E178" i="15"/>
  <c r="E84" i="15"/>
  <c r="E88" i="15"/>
  <c r="E92" i="15"/>
  <c r="F86" i="15"/>
  <c r="F84" i="15"/>
  <c r="F88" i="15"/>
  <c r="F92" i="15"/>
  <c r="E85" i="15"/>
  <c r="E89" i="15"/>
  <c r="E93" i="15"/>
  <c r="E94" i="15"/>
  <c r="F94" i="15"/>
  <c r="F85" i="15"/>
  <c r="F89" i="15"/>
  <c r="F93" i="15"/>
  <c r="E90" i="15"/>
  <c r="F90" i="15"/>
  <c r="E86" i="15"/>
  <c r="E87" i="15"/>
  <c r="E91" i="15"/>
  <c r="E95" i="15"/>
  <c r="F87" i="15"/>
  <c r="F91" i="15"/>
  <c r="F95" i="15"/>
  <c r="F98" i="15"/>
  <c r="C96" i="15"/>
  <c r="D58" i="14"/>
  <c r="E98" i="15"/>
  <c r="C98" i="15"/>
  <c r="E100" i="15"/>
  <c r="F97" i="15"/>
  <c r="C100" i="15"/>
  <c r="E99" i="15"/>
  <c r="F96" i="15"/>
  <c r="C99" i="15"/>
  <c r="F100" i="15"/>
  <c r="E97" i="15"/>
  <c r="F99" i="15"/>
  <c r="C97" i="15"/>
  <c r="E96" i="15"/>
  <c r="C85" i="15"/>
  <c r="C93" i="15"/>
  <c r="C86" i="15"/>
  <c r="C94" i="15"/>
  <c r="C87" i="15"/>
  <c r="C95" i="15"/>
  <c r="C88" i="15"/>
  <c r="C83" i="15"/>
  <c r="C89" i="15"/>
  <c r="C90" i="15"/>
  <c r="C84" i="15"/>
  <c r="C92" i="15"/>
  <c r="C91" i="15"/>
  <c r="F156" i="15"/>
  <c r="F157" i="15" s="1"/>
  <c r="F158" i="15" s="1"/>
  <c r="P5" i="15"/>
  <c r="D26" i="14"/>
  <c r="G101" i="15"/>
  <c r="C18" i="15"/>
  <c r="K23" i="15"/>
  <c r="F64" i="15" s="1"/>
  <c r="C17" i="17" s="1"/>
  <c r="B17" i="17" s="1"/>
  <c r="E58" i="14" l="1"/>
  <c r="E57" i="14" s="1"/>
  <c r="D57" i="14"/>
  <c r="C26" i="17"/>
  <c r="F26" i="14" s="1"/>
  <c r="E61" i="17"/>
  <c r="E57" i="17" s="1"/>
  <c r="D57" i="17"/>
  <c r="C26" i="14"/>
  <c r="E26" i="14" s="1"/>
  <c r="D27" i="14"/>
  <c r="E27" i="14" s="1"/>
  <c r="E27" i="17"/>
  <c r="F18" i="15"/>
  <c r="F162" i="15"/>
  <c r="F174" i="15"/>
  <c r="E174" i="15"/>
  <c r="C170" i="15"/>
  <c r="F171" i="15"/>
  <c r="E171" i="15"/>
  <c r="C171" i="15"/>
  <c r="C165" i="15"/>
  <c r="F172" i="15"/>
  <c r="F180" i="15"/>
  <c r="E172" i="15"/>
  <c r="E180" i="15"/>
  <c r="C168" i="15"/>
  <c r="C172" i="15"/>
  <c r="F173" i="15"/>
  <c r="F181" i="15"/>
  <c r="E173" i="15"/>
  <c r="E181" i="15"/>
  <c r="C169" i="15"/>
  <c r="C177" i="15"/>
  <c r="F167" i="15"/>
  <c r="F168" i="15"/>
  <c r="F176" i="15"/>
  <c r="E168" i="15"/>
  <c r="E176" i="15"/>
  <c r="C176" i="15"/>
  <c r="F169" i="15"/>
  <c r="F177" i="15"/>
  <c r="E169" i="15"/>
  <c r="E177" i="15"/>
  <c r="C173" i="15"/>
  <c r="E158" i="15"/>
  <c r="E53" i="14"/>
  <c r="E54" i="14"/>
  <c r="D28" i="14"/>
  <c r="E28" i="14" s="1"/>
  <c r="D33" i="14"/>
  <c r="K46" i="15"/>
  <c r="D46" i="14"/>
  <c r="E46" i="14" s="1"/>
  <c r="D42" i="14"/>
  <c r="F66" i="15"/>
  <c r="C17" i="14"/>
  <c r="B17" i="14" s="1"/>
  <c r="F27" i="17" l="1"/>
  <c r="D50" i="14"/>
  <c r="E50" i="14" s="1"/>
  <c r="F61" i="17"/>
  <c r="F57" i="17"/>
  <c r="F68" i="15"/>
  <c r="C19" i="17"/>
  <c r="C167" i="15"/>
  <c r="E167" i="15"/>
  <c r="C166" i="15"/>
  <c r="E170" i="15"/>
  <c r="F170" i="15"/>
  <c r="E166" i="15"/>
  <c r="G179" i="15"/>
  <c r="E182" i="15"/>
  <c r="F182" i="15"/>
  <c r="F166" i="15"/>
  <c r="C175" i="15"/>
  <c r="E175" i="15"/>
  <c r="F175" i="15"/>
  <c r="C174" i="15"/>
  <c r="G174" i="15" s="1"/>
  <c r="G171" i="15"/>
  <c r="G180" i="15"/>
  <c r="G181" i="15"/>
  <c r="G172" i="15"/>
  <c r="G173" i="15"/>
  <c r="G177" i="15"/>
  <c r="G168" i="15"/>
  <c r="G176" i="15"/>
  <c r="G169" i="15"/>
  <c r="G165" i="15"/>
  <c r="G92" i="15"/>
  <c r="G97" i="15"/>
  <c r="G85" i="15"/>
  <c r="G99" i="15"/>
  <c r="G86" i="15"/>
  <c r="G89" i="15"/>
  <c r="G96" i="15"/>
  <c r="G98" i="15"/>
  <c r="G87" i="15"/>
  <c r="G91" i="15"/>
  <c r="G95" i="15"/>
  <c r="G100" i="15"/>
  <c r="G90" i="15"/>
  <c r="G84" i="15"/>
  <c r="G93" i="15"/>
  <c r="G94" i="15"/>
  <c r="G88" i="15"/>
  <c r="C102" i="15"/>
  <c r="C19" i="14"/>
  <c r="F69" i="15" l="1"/>
  <c r="C21" i="17"/>
  <c r="B21" i="17" s="1"/>
  <c r="D51" i="14"/>
  <c r="E51" i="14" s="1"/>
  <c r="E51" i="17"/>
  <c r="D30" i="14"/>
  <c r="E30" i="14" s="1"/>
  <c r="D48" i="14"/>
  <c r="E48" i="14" s="1"/>
  <c r="D37" i="14"/>
  <c r="D32" i="14"/>
  <c r="D38" i="14"/>
  <c r="D41" i="14"/>
  <c r="D47" i="14"/>
  <c r="E47" i="14" s="1"/>
  <c r="E47" i="17"/>
  <c r="D43" i="14"/>
  <c r="D39" i="14"/>
  <c r="E39" i="17"/>
  <c r="F39" i="17" s="1"/>
  <c r="D29" i="14"/>
  <c r="E29" i="14" s="1"/>
  <c r="D35" i="14"/>
  <c r="E35" i="17"/>
  <c r="F35" i="17" s="1"/>
  <c r="D44" i="14"/>
  <c r="D34" i="14"/>
  <c r="D40" i="14"/>
  <c r="D36" i="14"/>
  <c r="D31" i="14"/>
  <c r="E31" i="14" s="1"/>
  <c r="E31" i="17"/>
  <c r="F31" i="17" s="1"/>
  <c r="G182" i="15"/>
  <c r="G166" i="15"/>
  <c r="F184" i="15"/>
  <c r="G178" i="15"/>
  <c r="G175" i="15"/>
  <c r="E184" i="15"/>
  <c r="C184" i="15"/>
  <c r="G167" i="15"/>
  <c r="G170" i="15"/>
  <c r="C21" i="14"/>
  <c r="B21" i="14" s="1"/>
  <c r="F51" i="17" l="1"/>
  <c r="F50" i="17" s="1"/>
  <c r="E50" i="17"/>
  <c r="F47" i="17"/>
  <c r="E41" i="17"/>
  <c r="F41" i="17" s="1"/>
  <c r="E40" i="17"/>
  <c r="F40" i="17" s="1"/>
  <c r="E38" i="17"/>
  <c r="F38" i="17" s="1"/>
  <c r="E30" i="17"/>
  <c r="F30" i="17" s="1"/>
  <c r="E32" i="17"/>
  <c r="F32" i="17" s="1"/>
  <c r="E37" i="17"/>
  <c r="F37" i="17" s="1"/>
  <c r="E36" i="17"/>
  <c r="F36" i="17" s="1"/>
  <c r="E48" i="17"/>
  <c r="F48" i="17" s="1"/>
  <c r="E29" i="17"/>
  <c r="E34" i="17"/>
  <c r="E44" i="17"/>
  <c r="C156" i="15"/>
  <c r="C158" i="15" s="1"/>
  <c r="C157" i="15"/>
  <c r="C159" i="15"/>
  <c r="G184" i="15"/>
  <c r="D24" i="14"/>
  <c r="E24" i="14" s="1"/>
  <c r="D64" i="14" s="1"/>
  <c r="C17" i="15"/>
  <c r="F17" i="15" s="1"/>
  <c r="F83" i="15"/>
  <c r="F102" i="15" s="1"/>
  <c r="E83" i="15"/>
  <c r="E102" i="15" s="1"/>
  <c r="E32" i="14"/>
  <c r="C78" i="14" l="1"/>
  <c r="C77" i="14" s="1"/>
  <c r="F46" i="17"/>
  <c r="F44" i="17"/>
  <c r="F42" i="17" s="1"/>
  <c r="E42" i="17"/>
  <c r="F34" i="17"/>
  <c r="F33" i="17" s="1"/>
  <c r="E33" i="17"/>
  <c r="F29" i="17"/>
  <c r="F28" i="17" s="1"/>
  <c r="E28" i="17"/>
  <c r="E46" i="17"/>
  <c r="C160" i="15"/>
  <c r="C73" i="17"/>
  <c r="E73" i="17" s="1"/>
  <c r="F73" i="17" s="1"/>
  <c r="G83" i="15"/>
  <c r="G102" i="15" s="1"/>
  <c r="E33" i="14"/>
  <c r="E77" i="14" l="1"/>
  <c r="E26" i="17"/>
  <c r="E64" i="17" s="1"/>
  <c r="F26" i="17"/>
  <c r="F64" i="17" s="1"/>
  <c r="C72" i="17"/>
  <c r="E72" i="17" s="1"/>
  <c r="F72" i="17" s="1"/>
  <c r="C161" i="15"/>
  <c r="B160" i="15"/>
  <c r="E78" i="14"/>
  <c r="E34" i="14"/>
  <c r="C162" i="15" l="1"/>
  <c r="B161" i="15"/>
  <c r="E35" i="14"/>
  <c r="E36" i="14" l="1"/>
  <c r="E37" i="14" l="1"/>
  <c r="E38" i="14" l="1"/>
  <c r="E39" i="14" l="1"/>
  <c r="E40" i="14" l="1"/>
  <c r="E41" i="14" l="1"/>
  <c r="E42" i="14" l="1"/>
  <c r="E43" i="14" l="1"/>
  <c r="E44"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André Van Kaufenbergh</author>
  </authors>
  <commentList>
    <comment ref="C16" authorId="0" shapeId="0" xr:uid="{00000000-0006-0000-0000-000001000000}">
      <text>
        <r>
          <rPr>
            <b/>
            <sz val="9"/>
            <color indexed="81"/>
            <rFont val="Tahoma"/>
            <family val="2"/>
          </rPr>
          <t>MENJE:</t>
        </r>
        <r>
          <rPr>
            <sz val="9"/>
            <color indexed="81"/>
            <rFont val="Tahoma"/>
            <family val="2"/>
          </rPr>
          <t xml:space="preserve">
A remplir seulement si Convention TRIPARTITE
Convention BIPARTITE --&gt; COMMUNE = ORGANISME GESTIONNAIRE</t>
        </r>
      </text>
    </comment>
  </commentList>
</comments>
</file>

<file path=xl/sharedStrings.xml><?xml version="1.0" encoding="utf-8"?>
<sst xmlns="http://schemas.openxmlformats.org/spreadsheetml/2006/main" count="1656" uniqueCount="661">
  <si>
    <t>DECOMPTE ANNUEL</t>
  </si>
  <si>
    <t>Bipartite</t>
  </si>
  <si>
    <t>Tripartite</t>
  </si>
  <si>
    <t>COMMUNE</t>
  </si>
  <si>
    <t>[adresse]</t>
  </si>
  <si>
    <t>[code postal]</t>
  </si>
  <si>
    <t>QUALIFICATION</t>
  </si>
  <si>
    <t>N° TELEPHONE</t>
  </si>
  <si>
    <t>ADRESSE E-MAIL</t>
  </si>
  <si>
    <t>Renseignements sur l'organisme gestionnaire / Administration communale</t>
  </si>
  <si>
    <t>ANNEE</t>
  </si>
  <si>
    <t>TYPE DE CONVENTION</t>
  </si>
  <si>
    <t>FINANCEMENT CONVENTION</t>
  </si>
  <si>
    <t>Etat</t>
  </si>
  <si>
    <r>
      <t xml:space="preserve">NOM DU SEA </t>
    </r>
    <r>
      <rPr>
        <sz val="8"/>
        <color theme="1"/>
        <rFont val="Calibri"/>
        <family val="2"/>
        <scheme val="minor"/>
      </rPr>
      <t>(p.ex. Maison Relais "Nom Commune")</t>
    </r>
  </si>
  <si>
    <t>1ère PERSONNE DE CONTACT DE L'ORGANISME GESTIONNAIRE</t>
  </si>
  <si>
    <t>2e PERSONNE DE CONTACT DE L'ORGANISME GESTIONNAIRE</t>
  </si>
  <si>
    <t xml:space="preserve">Renseignements sur le service de l'éducation et de l'accueil </t>
  </si>
  <si>
    <t>CHARGE(E) DE DIRECTION</t>
  </si>
  <si>
    <t>CHARGE(E) DE DIRECTION ADJOINT(E)</t>
  </si>
  <si>
    <t>RELEVE DES SERVICES D'EDUCATION ET D'ACCUEIL</t>
  </si>
  <si>
    <t>N°</t>
  </si>
  <si>
    <t>Nom</t>
  </si>
  <si>
    <t>Adresse</t>
  </si>
  <si>
    <t>Code Postal</t>
  </si>
  <si>
    <t>Ville</t>
  </si>
  <si>
    <t>N° Agrément</t>
  </si>
  <si>
    <t>Capacité maximale
(Agrément)</t>
  </si>
  <si>
    <t>Inclusion
(Oui/Non)</t>
  </si>
  <si>
    <t>Date d'accord inclusion</t>
  </si>
  <si>
    <t>Heures inclusion accordées</t>
  </si>
  <si>
    <t>OUI</t>
  </si>
  <si>
    <t>NON</t>
  </si>
  <si>
    <t>Total</t>
  </si>
  <si>
    <t>DONNEES GENERALES</t>
  </si>
  <si>
    <t>Gestionnaire</t>
  </si>
  <si>
    <t>ASBL</t>
  </si>
  <si>
    <t>ANNE</t>
  </si>
  <si>
    <t>ARCUS</t>
  </si>
  <si>
    <t>INTER-ACTIONS</t>
  </si>
  <si>
    <t>CROIX-ROUGE</t>
  </si>
  <si>
    <t>CARITAS J&amp;F</t>
  </si>
  <si>
    <t>CAJL</t>
  </si>
  <si>
    <t>FONCTION ENCADREMENT</t>
  </si>
  <si>
    <t>Total enfants</t>
  </si>
  <si>
    <t xml:space="preserve">       -dont nombre d'enfants inscrits au précoce*</t>
  </si>
  <si>
    <t>Ouverture pendant l'année</t>
  </si>
  <si>
    <t>CHEQUE-SERVICE ACCUEIL</t>
  </si>
  <si>
    <t>PROGRAMME INFORMATIQUE DE SAISIE CSA</t>
  </si>
  <si>
    <t>HEURES PROJETS SPECIFIQUES</t>
  </si>
  <si>
    <t>SEA ELIGIBLE POUR LE PROGRAMME PLURILINGUE</t>
  </si>
  <si>
    <t>depuis le</t>
  </si>
  <si>
    <t>heures facturées éligibles PL</t>
  </si>
  <si>
    <t>dont heures gratuites</t>
  </si>
  <si>
    <t>heures d'encadrement supplémentaires requis au titre de l'EP</t>
  </si>
  <si>
    <t>FONCTION REPAS</t>
  </si>
  <si>
    <t xml:space="preserve">Nombre de repas servis pendant l'année : </t>
  </si>
  <si>
    <t xml:space="preserve">dont interne : </t>
  </si>
  <si>
    <t xml:space="preserve">dont externe : </t>
  </si>
  <si>
    <t>Utilisation d'un prestataire externe</t>
  </si>
  <si>
    <t>Prix par repas unitaire si prestataire externe</t>
  </si>
  <si>
    <t>Coordonnées du prestataire externe</t>
  </si>
  <si>
    <t>Repas préprarés pour d'autres structures</t>
  </si>
  <si>
    <t>Prix par repas unitaire facturé</t>
  </si>
  <si>
    <t>Nombre de repas facturés</t>
  </si>
  <si>
    <t>FONCTION NETTOYAGE</t>
  </si>
  <si>
    <t>Heures de nettoyage par semaine</t>
  </si>
  <si>
    <t>ADMINISTRATION CENTRALE</t>
  </si>
  <si>
    <t xml:space="preserve">Révision du décompte effectuée par : </t>
  </si>
  <si>
    <t xml:space="preserve">Comptabilité préparée par : </t>
  </si>
  <si>
    <t>*sont à inscrire les enfants qui fréquentent pendant au moins 1 fois par semaine le précoce</t>
  </si>
  <si>
    <t>semaines</t>
  </si>
  <si>
    <t>heures annuelles</t>
  </si>
  <si>
    <t>heures</t>
  </si>
  <si>
    <t>EUR</t>
  </si>
  <si>
    <t>repas</t>
  </si>
  <si>
    <t/>
  </si>
  <si>
    <t>Interne et externe</t>
  </si>
  <si>
    <t>Prestataire</t>
  </si>
  <si>
    <t>Fiduciaire</t>
  </si>
  <si>
    <t>Service conventionné</t>
  </si>
  <si>
    <t>Commune</t>
  </si>
  <si>
    <t>Non applicable - ASBL conventionnée</t>
  </si>
  <si>
    <t>RELEVE BENFICIAIRES DE PROTECTION INTERNATIONALE (BPI)</t>
  </si>
  <si>
    <t xml:space="preserve">Coordonnées bancaires de la commune : </t>
  </si>
  <si>
    <t xml:space="preserve">IBAN : </t>
  </si>
  <si>
    <t xml:space="preserve">BIC : </t>
  </si>
  <si>
    <t>Initiales du nom de l'enfant</t>
  </si>
  <si>
    <t>du</t>
  </si>
  <si>
    <t>au</t>
  </si>
  <si>
    <t>Aide étatique</t>
  </si>
  <si>
    <t>Initiales</t>
  </si>
  <si>
    <t>hrs/sem 
accordées</t>
  </si>
  <si>
    <t>RELEVE INCLUSION (Enfants à besoins spécifique et renfort temporaire)</t>
  </si>
  <si>
    <t>Compte</t>
  </si>
  <si>
    <t>Intitulé de compte</t>
  </si>
  <si>
    <t>Montant</t>
  </si>
  <si>
    <t>Allocation</t>
  </si>
  <si>
    <t>Commentaire</t>
  </si>
  <si>
    <t>Encadrement</t>
  </si>
  <si>
    <t>Frais de gestion - Bâtiment</t>
  </si>
  <si>
    <t>Frais de gestion - Bureau</t>
  </si>
  <si>
    <t>Frais de gestion - Autres</t>
  </si>
  <si>
    <t>Frais de gestion - Pharmacie - soins</t>
  </si>
  <si>
    <t>Admin. centrale - Compta - Révision</t>
  </si>
  <si>
    <t>Admin. centrale - Salaires</t>
  </si>
  <si>
    <t>Admin. centrale - RH</t>
  </si>
  <si>
    <t>Admin. centrale - IT management</t>
  </si>
  <si>
    <t>Admin. centrale - Direction</t>
  </si>
  <si>
    <t>Admin. centrale - Supervision</t>
  </si>
  <si>
    <t>Admin. centrale - Formation</t>
  </si>
  <si>
    <t>Repas - Interne</t>
  </si>
  <si>
    <t>Repas - Externe</t>
  </si>
  <si>
    <t>Nettoyage - Interne</t>
  </si>
  <si>
    <t>Nettoyage - Externe</t>
  </si>
  <si>
    <t>Transport</t>
  </si>
  <si>
    <t>Projets spécifiques &amp; EBS</t>
  </si>
  <si>
    <t>Admin. centrale - Chargé(e) de direction</t>
  </si>
  <si>
    <t>Dropdown1</t>
  </si>
  <si>
    <t>Dropdown2</t>
  </si>
  <si>
    <t>Dropdown3</t>
  </si>
  <si>
    <t>Dropdown5</t>
  </si>
  <si>
    <t>dropdown6</t>
  </si>
  <si>
    <t>Dropdown7</t>
  </si>
  <si>
    <t>Dropdown8</t>
  </si>
  <si>
    <t>FF</t>
  </si>
  <si>
    <t>FP SAS</t>
  </si>
  <si>
    <t>FP Commune</t>
  </si>
  <si>
    <t>Prénom</t>
  </si>
  <si>
    <t>Matricule</t>
  </si>
  <si>
    <t>Carrière</t>
  </si>
  <si>
    <t>Années</t>
  </si>
  <si>
    <t>Points</t>
  </si>
  <si>
    <t>Heures annuelles RTT</t>
  </si>
  <si>
    <t>Heures de maladie</t>
  </si>
  <si>
    <t>Autres absences motivées</t>
  </si>
  <si>
    <t>Brut</t>
  </si>
  <si>
    <t>Autres primes</t>
  </si>
  <si>
    <t>Part patronale</t>
  </si>
  <si>
    <t>Remboursement
Mutualité</t>
  </si>
  <si>
    <t>Remboursement
Autres</t>
  </si>
  <si>
    <t>Total global</t>
  </si>
  <si>
    <t>Dont non opposable</t>
  </si>
  <si>
    <t>Total éligible</t>
  </si>
  <si>
    <t>Nom de la structure</t>
  </si>
  <si>
    <t>Allocation fonctions</t>
  </si>
  <si>
    <t>Code Convention</t>
  </si>
  <si>
    <t>TABLEAU DES CARRIERES</t>
  </si>
  <si>
    <t>PROFESSIONS DE SANTE</t>
  </si>
  <si>
    <t>PS1</t>
  </si>
  <si>
    <t>Assistant social, assistant d'hygiène sociale, ergothérapeute, kinésithérapeute, infirmier, hospitalier gradué, laborantin, diététicien, ergothérapeute, psychomotricien, orthophoniste, pédagogue curatif</t>
  </si>
  <si>
    <t>PS2</t>
  </si>
  <si>
    <t xml:space="preserve"> Sage‐femme, ATM chirurgie, infirmier anesthésiste, masseur</t>
  </si>
  <si>
    <t>PS3</t>
  </si>
  <si>
    <t xml:space="preserve"> Infirmier psychiatrique, infirmier en pédiatrie</t>
  </si>
  <si>
    <t>PS4</t>
  </si>
  <si>
    <t>Infirmier, assistant technique médical de radiologie et assistant technique médical de laboratoire</t>
  </si>
  <si>
    <t>PS5</t>
  </si>
  <si>
    <t xml:space="preserve"> Aide‐soignant</t>
  </si>
  <si>
    <t>PROFESSIONS SOCIO‐EDUCATIVES</t>
  </si>
  <si>
    <t>PE1 a)</t>
  </si>
  <si>
    <t xml:space="preserve"> Universitaire</t>
  </si>
  <si>
    <t>PE1 b)</t>
  </si>
  <si>
    <t>PE3</t>
  </si>
  <si>
    <t xml:space="preserve"> Éducateur gradué</t>
  </si>
  <si>
    <t>PE3 form.</t>
  </si>
  <si>
    <t>PE4 a)</t>
  </si>
  <si>
    <t xml:space="preserve"> Éducateur Instructeur niveau fin d'études secondaires ou secondaires techniques</t>
  </si>
  <si>
    <t>PE4 b)</t>
  </si>
  <si>
    <t>PE5 a)</t>
  </si>
  <si>
    <t xml:space="preserve"> Éducateur diplômé</t>
  </si>
  <si>
    <t>PE5 b)</t>
  </si>
  <si>
    <t>PE5 c)</t>
  </si>
  <si>
    <t>PE5 form.</t>
  </si>
  <si>
    <t>PE6 a)</t>
  </si>
  <si>
    <t xml:space="preserve"> Éducateur Instructeur</t>
  </si>
  <si>
    <t>PE6 b)</t>
  </si>
  <si>
    <t>PE6 c)</t>
  </si>
  <si>
    <t>PE7 a)</t>
  </si>
  <si>
    <t xml:space="preserve"> Aidant social et éducatif niveau CATP Remarque</t>
  </si>
  <si>
    <t>PE7 b)</t>
  </si>
  <si>
    <t>PERSONNEL ADMINISTRATIF, LOGISTIQUE ET TECHNIQUE</t>
  </si>
  <si>
    <t>PA1 a)</t>
  </si>
  <si>
    <t xml:space="preserve"> Salarié administratif, logistique ou technique universitaire</t>
  </si>
  <si>
    <t>PA1 b)</t>
  </si>
  <si>
    <t>PA3 a)</t>
  </si>
  <si>
    <t>Salarié détenteur du certificat de fin d'études secondaires ou du certificat de fin d'études secondaires techniques et l'ingénieur technicien</t>
  </si>
  <si>
    <t>PA3 b)</t>
  </si>
  <si>
    <t>PA4 a)</t>
  </si>
  <si>
    <t>Technicien, artisan avec brevet de maîtrise, salarié détenteur d'un CATP ou CAP, salarié ayant réussi la classe de 3e secondaire, salarié détenteur du certificat de fin d'études de l'enseignement moyen, salarié ayant réussi 5 années d'enseignement secondaire technique dans le régime technique ou dans le régime du technicien</t>
  </si>
  <si>
    <t>PA4 b)</t>
  </si>
  <si>
    <t>PA5 a)</t>
  </si>
  <si>
    <t>Salarié ayant réussi une 5e secondaire ou équivalent ou la classe 9e secondaire technique et ayant une expérience professionnelle de 2 ans au moins</t>
  </si>
  <si>
    <t>PA5 b)</t>
  </si>
  <si>
    <t>PA6 c)</t>
  </si>
  <si>
    <t>Salarié avec une qualification inférieure à une 5e secondaire ou une 9e secondaire technique</t>
  </si>
  <si>
    <t xml:space="preserve">PA7 </t>
  </si>
  <si>
    <t>Salarié sans diplôme</t>
  </si>
  <si>
    <t>PERSONNEL A TÂCHE ARTISANALE ET MANUELLE</t>
  </si>
  <si>
    <t>PAM1</t>
  </si>
  <si>
    <t xml:space="preserve"> Artisan détenteur d'un CAP ou CATP ‐ Auxiliaire économe avec CAP ou CATP</t>
  </si>
  <si>
    <t>PAM2</t>
  </si>
  <si>
    <t xml:space="preserve"> Salarié non diplômé chargé de travaux artisanaux / salarié à tâche artisanale / aide sociofamilial</t>
  </si>
  <si>
    <t>PAM3 a)</t>
  </si>
  <si>
    <t xml:space="preserve"> Salarié sans diplôme (le salarié PAM3 peut être promu dans la carrière PAM2)</t>
  </si>
  <si>
    <t>PAM3 b)</t>
  </si>
  <si>
    <t>Etudiant</t>
  </si>
  <si>
    <t>Autres</t>
  </si>
  <si>
    <t>Travailleurs handicapés, Auxiliaires de vie, ….</t>
  </si>
  <si>
    <t>Ouvriers</t>
  </si>
  <si>
    <t>TABLEAU DES PROFESSIONS PAR CARRIERE NOUVEAU CCT SAS</t>
  </si>
  <si>
    <t xml:space="preserve">C1 </t>
  </si>
  <si>
    <t>Professions administratives, logistiques et technique sans qualification</t>
  </si>
  <si>
    <t>Professions artisanale et manuelle sans qualification</t>
  </si>
  <si>
    <t>C2</t>
  </si>
  <si>
    <t>Aide socio-familiale</t>
  </si>
  <si>
    <t>Professions administratives, logistiques et techniques avec 5ème ES (ou équivalent) ou 9ème EST et 2 années d’expérience</t>
  </si>
  <si>
    <t>Professions artisanales et manuelles</t>
  </si>
  <si>
    <t>C3</t>
  </si>
  <si>
    <t>Aide-soignant</t>
  </si>
  <si>
    <t>Auxiliaire économe / Auxiliaire de vie</t>
  </si>
  <si>
    <t>Éducateur-instructeur</t>
  </si>
  <si>
    <t>Professions artisanales et manuelles avec DAP (CATP)</t>
  </si>
  <si>
    <t>Professions administratives, logistiques et techniques avec DAP (CATP)</t>
  </si>
  <si>
    <t>Professions administratives, logistiques et techniques avec brevet de maîtrise *</t>
  </si>
  <si>
    <t>Professions administratives, logistiques et techniques avec 3ème ES ou 11ème EST ou certificat de fin d’études de l’enseignement moyen</t>
  </si>
  <si>
    <t>C4</t>
  </si>
  <si>
    <t>Éducateur diplômé</t>
  </si>
  <si>
    <t>Éducateur-instructeur avec certificat de fin d’études secondaires ou de fin d’études secondaires techniques</t>
  </si>
  <si>
    <t>Ingénieur technicien</t>
  </si>
  <si>
    <t>Professions administratives, logistiques et techniques avec certificat de fin d’études secondaires ou de fin d’études secondaires techniques</t>
  </si>
  <si>
    <t>C5</t>
  </si>
  <si>
    <t>Infirmier diplômé</t>
  </si>
  <si>
    <t>Professions administratives, logistiques et techniques avec BTS</t>
  </si>
  <si>
    <t>C5*</t>
  </si>
  <si>
    <t>ATM en chirurgie</t>
  </si>
  <si>
    <t>ATM de laboratoire</t>
  </si>
  <si>
    <t>ATM de radiologie</t>
  </si>
  <si>
    <t>Infirmier anesthésiste</t>
  </si>
  <si>
    <t>Infirmier en pédiatrie</t>
  </si>
  <si>
    <t>Infirmier psychiatrique</t>
  </si>
  <si>
    <t>Sage-femme</t>
  </si>
  <si>
    <t>C6</t>
  </si>
  <si>
    <t>Assistant d’hygiène sociale</t>
  </si>
  <si>
    <t>Assistant social</t>
  </si>
  <si>
    <t>Diététicien</t>
  </si>
  <si>
    <t>Éducateur gradué</t>
  </si>
  <si>
    <t>Ergothérapeute</t>
  </si>
  <si>
    <t>Infirmier hospitalier gradué</t>
  </si>
  <si>
    <t>Kinésithérapeute</t>
  </si>
  <si>
    <t>Laborantin</t>
  </si>
  <si>
    <t>Orthophoniste</t>
  </si>
  <si>
    <t>Pédagogue curatif</t>
  </si>
  <si>
    <t>Psychomotricien</t>
  </si>
  <si>
    <t>Professions administratives, logistiques et techniques avec Bachelor</t>
  </si>
  <si>
    <t>Professions socio-éducatives avec Bachelor</t>
  </si>
  <si>
    <t>Professions de santé avec Bachelor</t>
  </si>
  <si>
    <t>C7</t>
  </si>
  <si>
    <t>Professions administratives, logistiques et techniques avec Master</t>
  </si>
  <si>
    <t>Professions de santé avec Master</t>
  </si>
  <si>
    <t>Professions socio-éducatives avec Master</t>
  </si>
  <si>
    <t>Dropdown9</t>
  </si>
  <si>
    <t>Fonction</t>
  </si>
  <si>
    <t>Ouvrier</t>
  </si>
  <si>
    <t>C1 Professions administratives, logistiques et technique sans qualification</t>
  </si>
  <si>
    <t>C1 Professions artisanale et manuelle sans qualification</t>
  </si>
  <si>
    <t>C2 Aide socio-familiale</t>
  </si>
  <si>
    <t>C2 Professions administratives, logistiques et techniques avec 5ème ES (ou équivalent) ou 9ème EST et 2 années d’expérience</t>
  </si>
  <si>
    <t>C2 Professions artisanales et manuelles</t>
  </si>
  <si>
    <t>C3 Aide-soignant</t>
  </si>
  <si>
    <t>C3 Auxiliaire économe / Auxiliaire de vie</t>
  </si>
  <si>
    <t>C3 Éducateur-instructeur</t>
  </si>
  <si>
    <t>C3 Professions artisanales et manuelles avec DAP (CATP)</t>
  </si>
  <si>
    <t>C3 Professions administratives, logistiques et techniques avec DAP (CATP)</t>
  </si>
  <si>
    <t>C3 Professions administratives, logistiques et techniques avec brevet de maîtrise *</t>
  </si>
  <si>
    <t>C3 Professions administratives, logistiques et techniques avec 3ème ES ou 11ème EST ou certificat de fin d’études de l’enseignement moyen</t>
  </si>
  <si>
    <t>C4 Éducateur diplômé</t>
  </si>
  <si>
    <t>C4 Éducateur-instructeur avec certificat de fin d’études secondaires ou de fin d’études secondaires techniques</t>
  </si>
  <si>
    <t>C4 Ingénieur technicien</t>
  </si>
  <si>
    <t>C4 Professions administratives, logistiques et techniques avec certificat de fin d’études secondaires ou de fin d’études secondaires techniques</t>
  </si>
  <si>
    <t>C5 Infirmier diplômé</t>
  </si>
  <si>
    <t>C5 Professions administratives, logistiques et techniques avec BTS</t>
  </si>
  <si>
    <t>C5* ATM en chirurgie</t>
  </si>
  <si>
    <t>C5* ATM de laboratoire</t>
  </si>
  <si>
    <t>C5* ATM de radiologie</t>
  </si>
  <si>
    <t>C5* Infirmier anesthésiste</t>
  </si>
  <si>
    <t>C5* Infirmier en pédiatrie</t>
  </si>
  <si>
    <t>C5* Infirmier psychiatrique</t>
  </si>
  <si>
    <t>C5* Sage-femme</t>
  </si>
  <si>
    <t>C6 Assistant d’hygiène sociale</t>
  </si>
  <si>
    <t>C6 Assistant social</t>
  </si>
  <si>
    <t>C6 Diététicien</t>
  </si>
  <si>
    <t>C6 Éducateur gradué</t>
  </si>
  <si>
    <t>C6 Ergothérapeute</t>
  </si>
  <si>
    <t>C6 Infirmier hospitalier gradué</t>
  </si>
  <si>
    <t>C6 Kinésithérapeute</t>
  </si>
  <si>
    <t>C6 Laborantin</t>
  </si>
  <si>
    <t>C6 Orthophoniste</t>
  </si>
  <si>
    <t>C6 Pédagogue curatif</t>
  </si>
  <si>
    <t>C6 Psychomotricien</t>
  </si>
  <si>
    <t>C6 Professions administratives, logistiques et techniques avec Bachelor</t>
  </si>
  <si>
    <t>C6 Professions socio-éducatives avec Bachelor</t>
  </si>
  <si>
    <t>C6 Professions de santé avec Bachelor</t>
  </si>
  <si>
    <t>C7 Professions administratives, logistiques et techniques avec Master</t>
  </si>
  <si>
    <t>C7 Professions de santé avec Master</t>
  </si>
  <si>
    <t>C7 Professions socio-éducatives avec Master</t>
  </si>
  <si>
    <t>RTT service d'éducation et d'accueil petite enfance / enfants scolarisés</t>
  </si>
  <si>
    <t>SEA - personnel encadrement</t>
  </si>
  <si>
    <t>Jours</t>
  </si>
  <si>
    <t xml:space="preserve">Heures </t>
  </si>
  <si>
    <t>Heures*</t>
  </si>
  <si>
    <t>Solde</t>
  </si>
  <si>
    <t>Solde*</t>
  </si>
  <si>
    <t>Origine de la déduction</t>
  </si>
  <si>
    <t>Point de départ</t>
  </si>
  <si>
    <t>dimanches et  samedis</t>
  </si>
  <si>
    <t>valeur calendrier annuel</t>
  </si>
  <si>
    <t xml:space="preserve">Déduction jours fériés </t>
  </si>
  <si>
    <t>code du travail</t>
  </si>
  <si>
    <t>Déduction jours fériés d'usage</t>
  </si>
  <si>
    <t>CCT SAS, art. 11</t>
  </si>
  <si>
    <t>Déduction congé légal</t>
  </si>
  <si>
    <t>29 (33)*</t>
  </si>
  <si>
    <t>CCT SAS, art. 16</t>
  </si>
  <si>
    <t>Sous-total</t>
  </si>
  <si>
    <t>Déduction formation continue</t>
  </si>
  <si>
    <t>règl. SEA: 16 hrs</t>
  </si>
  <si>
    <t>Déduction congé maladie (5%)</t>
  </si>
  <si>
    <t>5%*</t>
  </si>
  <si>
    <t>moyenne assurance dép.</t>
  </si>
  <si>
    <t>Déduction congé lié à l'âge (cf. EHL)</t>
  </si>
  <si>
    <t>Déduction congé social (cf. EHL)</t>
  </si>
  <si>
    <t>CCT SAS, art. 20</t>
  </si>
  <si>
    <t>Déduction congé extraordinaire (cf. EHL)</t>
  </si>
  <si>
    <t>code du travail, et CCT SAS concernant le congé de circonstance pour pères, art 17 bis</t>
  </si>
  <si>
    <t>Déduction heures de préparation</t>
  </si>
  <si>
    <t>règl. SEA</t>
  </si>
  <si>
    <t>TOTAL</t>
  </si>
  <si>
    <t>*spécificité secteur communal</t>
  </si>
  <si>
    <t>Fonctions principales</t>
  </si>
  <si>
    <t>Fonct. com. - Agent municipal</t>
  </si>
  <si>
    <t>Fonct. com. - Agent de transport</t>
  </si>
  <si>
    <t>Fonct. com. - Artisan</t>
  </si>
  <si>
    <t>Fonct. com. - Attaché administratif</t>
  </si>
  <si>
    <t>Fonct. com. - Educateur</t>
  </si>
  <si>
    <t>Fonct. com. - Educateur gradué</t>
  </si>
  <si>
    <t>Fonct. com. - Expéditionnaire administratif</t>
  </si>
  <si>
    <t>Fonct. com. - Expéditionnaire technique</t>
  </si>
  <si>
    <t>Fonct. com. - Huissier</t>
  </si>
  <si>
    <t>Fonct. com. - Ingénieur</t>
  </si>
  <si>
    <t>Fonct. com. - Ingénieur technicien</t>
  </si>
  <si>
    <t>Fonct. com. - Receveur communal</t>
  </si>
  <si>
    <t>Fonct. com. - Rédacteur</t>
  </si>
  <si>
    <t>Fonct. com. - Secrétaire communal</t>
  </si>
  <si>
    <t>Fonct. com. - Secrétaire rédacteur</t>
  </si>
  <si>
    <t>Empl. com. - Carrière A</t>
  </si>
  <si>
    <t>Empl. com. - Carrière B</t>
  </si>
  <si>
    <t>Empl. com. - Carrière B1</t>
  </si>
  <si>
    <t>Empl. com. - Carrière C</t>
  </si>
  <si>
    <t>Empl. com. - Carrière D</t>
  </si>
  <si>
    <t>Empl. com. - Carrière S</t>
  </si>
  <si>
    <t>Empl. com. - Educateur</t>
  </si>
  <si>
    <t>Empl. com. - Educateur gradué</t>
  </si>
  <si>
    <t>Empl. com. - Educateur sanitaire</t>
  </si>
  <si>
    <t>Empl. com. - Assistant d'hygiène sociale</t>
  </si>
  <si>
    <t>Empl. com. - Agent sanitaire infirmier</t>
  </si>
  <si>
    <t>Empl. com. - Assistant social</t>
  </si>
  <si>
    <t>Empl. com. - Ergothérapeute</t>
  </si>
  <si>
    <t>Empl. com. - Orthoptiste</t>
  </si>
  <si>
    <t>Ouvrier - CATP</t>
  </si>
  <si>
    <t>Ouvrier - Non CATP</t>
  </si>
  <si>
    <t>Aide-éducateur</t>
  </si>
  <si>
    <t>Dropdown10</t>
  </si>
  <si>
    <t>Frais généraux</t>
  </si>
  <si>
    <t>Dropdown11</t>
  </si>
  <si>
    <t>Frais directement liés à l'activité - Encadrement</t>
  </si>
  <si>
    <t>Frais directement liés à l'activité - Logistique</t>
  </si>
  <si>
    <t>Frais indirectement liés à l'activité - Autres fonctions - Administration / Logistique</t>
  </si>
  <si>
    <t>Frais indirectement liés à l'activité - Autres fonctions - Chargé(e) de direction</t>
  </si>
  <si>
    <t>Frais indirectement liés à l'activité - Autres fonctions - Direction générale</t>
  </si>
  <si>
    <t xml:space="preserve">Frais indirectement liés à l'activité - Prévues par la loi </t>
  </si>
  <si>
    <t>Frais de Fonctionnement</t>
  </si>
  <si>
    <t>Frais de personnel CCT SAS</t>
  </si>
  <si>
    <t>Frais de personnel Commune</t>
  </si>
  <si>
    <t>Statut</t>
  </si>
  <si>
    <t>Heures de congé de maternité</t>
  </si>
  <si>
    <t>Autres Primes</t>
  </si>
  <si>
    <t>Remboursement Mutualité</t>
  </si>
  <si>
    <t>Allocations fonctions</t>
  </si>
  <si>
    <t>Fonctionnaire</t>
  </si>
  <si>
    <t>Employé</t>
  </si>
  <si>
    <t>Salarié</t>
  </si>
  <si>
    <t>Agent municipal</t>
  </si>
  <si>
    <t>Agent de transport</t>
  </si>
  <si>
    <t>Artisan</t>
  </si>
  <si>
    <t>Attaché administratif</t>
  </si>
  <si>
    <t>Educateur</t>
  </si>
  <si>
    <t>Educateur gradué</t>
  </si>
  <si>
    <t>Expéditionnaire administratif</t>
  </si>
  <si>
    <t>Expéditionnaire technique</t>
  </si>
  <si>
    <t>Huissier</t>
  </si>
  <si>
    <t>Ingénieur</t>
  </si>
  <si>
    <t>Receveur communal</t>
  </si>
  <si>
    <t>Rédacteur</t>
  </si>
  <si>
    <t>Secrétaire communal</t>
  </si>
  <si>
    <t>Secrétaire rédacteur</t>
  </si>
  <si>
    <t>Carrière A</t>
  </si>
  <si>
    <t>Carrière B</t>
  </si>
  <si>
    <t>Carrière B1</t>
  </si>
  <si>
    <t>Carrière C</t>
  </si>
  <si>
    <t>Carrière D</t>
  </si>
  <si>
    <t>Carrière S</t>
  </si>
  <si>
    <t>Assistant d'hygiène sociale</t>
  </si>
  <si>
    <t>Agent sanitaire infirmier</t>
  </si>
  <si>
    <t>Orthoptiste</t>
  </si>
  <si>
    <t>Autres heures 
d'absences motivées</t>
  </si>
  <si>
    <t>Primes convention financement</t>
  </si>
  <si>
    <t>Fonctions</t>
  </si>
  <si>
    <t>TOTAL FILTRE</t>
  </si>
  <si>
    <t>Dropdown12</t>
  </si>
  <si>
    <t>EBS</t>
  </si>
  <si>
    <t>Renfort temporaire</t>
  </si>
  <si>
    <t>EBS/ 
Renfort temporair</t>
  </si>
  <si>
    <t>Recettes</t>
  </si>
  <si>
    <t>Dropdown13</t>
  </si>
  <si>
    <t>Contribution MENJE</t>
  </si>
  <si>
    <t>Contribution Usagers</t>
  </si>
  <si>
    <t>Contribution Commune</t>
  </si>
  <si>
    <t>Repas</t>
  </si>
  <si>
    <t>Nettoyage</t>
  </si>
  <si>
    <t>TABLEAU DE SYNTHESE</t>
  </si>
  <si>
    <r>
      <t xml:space="preserve">ORGANISME GESTIONNAIRE </t>
    </r>
    <r>
      <rPr>
        <sz val="8"/>
        <color theme="1"/>
        <rFont val="Calibri"/>
        <family val="2"/>
        <scheme val="minor"/>
      </rPr>
      <t>(</t>
    </r>
    <r>
      <rPr>
        <b/>
        <sz val="8"/>
        <color rgb="FFFF0000"/>
        <rFont val="Calibri"/>
        <family val="2"/>
        <scheme val="minor"/>
      </rPr>
      <t>Nom de la Commune si Commune est gestionnaire</t>
    </r>
    <r>
      <rPr>
        <sz val="8"/>
        <rFont val="Calibri"/>
        <family val="2"/>
        <scheme val="minor"/>
      </rPr>
      <t>)</t>
    </r>
  </si>
  <si>
    <t>ANALYSE TABLEAU DE DÉCOMPTE</t>
  </si>
  <si>
    <t>DONNEES GESTIONNAIRE</t>
  </si>
  <si>
    <t>Nom Structure</t>
  </si>
  <si>
    <t>Financement MENJE</t>
  </si>
  <si>
    <t>Nombre d'enfants inscrits au 30/11/  (&lt; 2 ans)</t>
  </si>
  <si>
    <t>Nombre d'enfants inscrits au 30/11/  (2-4 ans)</t>
  </si>
  <si>
    <t>Nombre d'enfants inscrits au 30/11/  (4-12 ans)</t>
  </si>
  <si>
    <t>Nombre d'enfants masculins au 30/11/16</t>
  </si>
  <si>
    <t>Nombre d'enfants féminins au 30/11/2016</t>
  </si>
  <si>
    <t>Grand prestataire</t>
  </si>
  <si>
    <t>Heures de présence des enfants budgétées</t>
  </si>
  <si>
    <t>Chargé(e) de direction</t>
  </si>
  <si>
    <t>qualification</t>
  </si>
  <si>
    <t>n° telephone</t>
  </si>
  <si>
    <t>adresse e-mail</t>
  </si>
  <si>
    <t>Chargé(e) de direction adjointe</t>
  </si>
  <si>
    <t>Contact Gestionnaire 1</t>
  </si>
  <si>
    <t>Contact Gestionnaire 2</t>
  </si>
  <si>
    <t>CSA PGI</t>
  </si>
  <si>
    <t>Heures d'encadrement budgétées</t>
  </si>
  <si>
    <t>Heures de présence facturées CSA</t>
  </si>
  <si>
    <t>Heures de présence réelles (FSP)</t>
  </si>
  <si>
    <t>Heures d'encadrement réelles (FSP)</t>
  </si>
  <si>
    <t>Inclusion</t>
  </si>
  <si>
    <t>Heures inclusion</t>
  </si>
  <si>
    <t>Heures EPL</t>
  </si>
  <si>
    <t>Delta</t>
  </si>
  <si>
    <t>Heures d'encadrement détail salaires SAS effectives selon RTT</t>
  </si>
  <si>
    <t>Heures d'encadrement détail salaires commune effectives selon RTT</t>
  </si>
  <si>
    <t>Heures d'encadrement détail salaires SAS effectives selon contrat</t>
  </si>
  <si>
    <t>Heures d'encadrement détail salaires Commune effectives selon contrat</t>
  </si>
  <si>
    <t>Heures de personnel globales de la structure selon contrat</t>
  </si>
  <si>
    <t>Total encadrement RTT</t>
  </si>
  <si>
    <t>Heures EBS</t>
  </si>
  <si>
    <t>Heures projets spécifiques</t>
  </si>
  <si>
    <t>Heures Renfort Temporaire</t>
  </si>
  <si>
    <t>FF projets spécifiques</t>
  </si>
  <si>
    <t>Répartition frais globaux avant recettes non attribuables et avant ajustements MENJE</t>
  </si>
  <si>
    <t>Frais de fonctionnement</t>
  </si>
  <si>
    <t>Frais de personnel SAS</t>
  </si>
  <si>
    <t>Frais totaux</t>
  </si>
  <si>
    <t>ENCADREMENT</t>
  </si>
  <si>
    <t>CALCUL DEPASSEMENT</t>
  </si>
  <si>
    <t>Maximum frais éligibles (autres fonctions)</t>
  </si>
  <si>
    <t>Frais de fonctionnement déclarés</t>
  </si>
  <si>
    <t>Frais de personnel à l'exception des frais de personnel "encadrement" et "EBS"</t>
  </si>
  <si>
    <t>Total frais déclarés</t>
  </si>
  <si>
    <t>Dépassement FF</t>
  </si>
  <si>
    <t>Dépassement Encadrement en heures</t>
  </si>
  <si>
    <t>Dépassement encadrement en €</t>
  </si>
  <si>
    <t>EPL</t>
  </si>
  <si>
    <t>Heures d'encadrement éligible</t>
  </si>
  <si>
    <t>Heures EBS éligible</t>
  </si>
  <si>
    <t>Heures renfort temporaire</t>
  </si>
  <si>
    <t>Total "projets spécifiques"</t>
  </si>
  <si>
    <t>Heures "projets spécifiques"  SAS effectives selon RTT</t>
  </si>
  <si>
    <t>Heures "projets spécifiques" commune effectives selon RTT</t>
  </si>
  <si>
    <t>Heures "projets spécifiques" effectives selon RTT</t>
  </si>
  <si>
    <t>Dépassement Projets spécifiques en heures</t>
  </si>
  <si>
    <t>Dépassement Projets spécifiques en €</t>
  </si>
  <si>
    <t>Total heures d'encadrement éiligible</t>
  </si>
  <si>
    <t>Maximum FF Projets spécifiques</t>
  </si>
  <si>
    <t>FF Projets spécifiques déclaré</t>
  </si>
  <si>
    <t>Dépassement FF Projets spécifiques</t>
  </si>
  <si>
    <t>Type Convention</t>
  </si>
  <si>
    <t>RECETTES</t>
  </si>
  <si>
    <t>Frais de gestion</t>
  </si>
  <si>
    <t>en hrs</t>
  </si>
  <si>
    <t>%</t>
  </si>
  <si>
    <t>Taux d'occuptation HPE réelles vs HPE budgétées (Delta)</t>
  </si>
  <si>
    <t>Total heures d'encadrement éligible</t>
  </si>
  <si>
    <t>Heures d'encadrement réalisées selon RTT</t>
  </si>
  <si>
    <t>Coûts personnel encadrement</t>
  </si>
  <si>
    <t>Coûts</t>
  </si>
  <si>
    <t>Dépassement</t>
  </si>
  <si>
    <t>Montant retenu</t>
  </si>
  <si>
    <t>Estimation des heures de présences enfants budgétées</t>
  </si>
  <si>
    <t>Heures de présences éligible</t>
  </si>
  <si>
    <t>Heures d'encadrement réelles (PGI)</t>
  </si>
  <si>
    <t>Total coûts autres fonctions</t>
  </si>
  <si>
    <t>Admin. Centrale</t>
  </si>
  <si>
    <t>Répartition du dépassement</t>
  </si>
  <si>
    <t>Solde total retenu</t>
  </si>
  <si>
    <t>en €</t>
  </si>
  <si>
    <t>Heures de présence facturées aux enfants éligibles à l'EP</t>
  </si>
  <si>
    <t>Heures gratuites EP</t>
  </si>
  <si>
    <t>Total EP à charge de l'Etat</t>
  </si>
  <si>
    <t>Vu et certifié exact le</t>
  </si>
  <si>
    <t>par</t>
  </si>
  <si>
    <t>Président / Bourgmestre / Directeur</t>
  </si>
  <si>
    <t>Signature</t>
  </si>
  <si>
    <t>Financement</t>
  </si>
  <si>
    <t>Montant dû final</t>
  </si>
  <si>
    <t>Avances reçues</t>
  </si>
  <si>
    <t>Total heures éligible "Projets spécifiques"</t>
  </si>
  <si>
    <t>Aide refugiés (BPI)</t>
  </si>
  <si>
    <t>Allocation forfaitaire à verser par le MENJE à la commune</t>
  </si>
  <si>
    <t>BPI</t>
  </si>
  <si>
    <t>Nbre BPI</t>
  </si>
  <si>
    <t>Total Encadrement</t>
  </si>
  <si>
    <t>Total Autres fonctions</t>
  </si>
  <si>
    <t>Dépassement total</t>
  </si>
  <si>
    <t>Total Frais</t>
  </si>
  <si>
    <t>Total Projets spécifiques (FP)</t>
  </si>
  <si>
    <t>Total Projets spécifiques (FF)</t>
  </si>
  <si>
    <t>Heures contrat</t>
  </si>
  <si>
    <t>Heures total</t>
  </si>
  <si>
    <t>Heures Absences</t>
  </si>
  <si>
    <t>Absences CCT SAS</t>
  </si>
  <si>
    <t>Autres absence COMMUNE</t>
  </si>
  <si>
    <t>Congé de maternité COMMUNE</t>
  </si>
  <si>
    <t>Capacité total</t>
  </si>
  <si>
    <t>Heures personnel</t>
  </si>
  <si>
    <t>Frais fonctionnement</t>
  </si>
  <si>
    <t>Frais de personnel</t>
  </si>
  <si>
    <t>Hors convention</t>
  </si>
  <si>
    <t>Unités</t>
  </si>
  <si>
    <t>Nbre unités</t>
  </si>
  <si>
    <t>Recettes attribuables</t>
  </si>
  <si>
    <t>Heures contrat personnel SAS</t>
  </si>
  <si>
    <t>Heures contrat personnel Commune</t>
  </si>
  <si>
    <t>ETP - RECAP</t>
  </si>
  <si>
    <t>Convention:</t>
  </si>
  <si>
    <t xml:space="preserve">Suivant décompte : </t>
  </si>
  <si>
    <t>CCTSAS :</t>
  </si>
  <si>
    <t>COMMUNE :</t>
  </si>
  <si>
    <t>Type de convention</t>
  </si>
  <si>
    <t>Heures ETP</t>
  </si>
  <si>
    <t>Nombre ETP</t>
  </si>
  <si>
    <t>Nombre empl.</t>
  </si>
  <si>
    <t>ETP GLOBAUX</t>
  </si>
  <si>
    <t xml:space="preserve">Total : </t>
  </si>
  <si>
    <t>Filtre :</t>
  </si>
  <si>
    <t>ETP ENCADREMENT</t>
  </si>
  <si>
    <t>Qualifié / Non qualifié</t>
  </si>
  <si>
    <t>CCTSAS</t>
  </si>
  <si>
    <t>moyenne Ancienneté</t>
  </si>
  <si>
    <t>Heures ETP Encadrement</t>
  </si>
  <si>
    <t>% Encadrement</t>
  </si>
  <si>
    <t>Nombre ETP Encadrement</t>
  </si>
  <si>
    <t>Éducateur</t>
  </si>
  <si>
    <t>Éducateur sanitaire</t>
  </si>
  <si>
    <t>Aide-educateur</t>
  </si>
  <si>
    <t>Aide éducateur</t>
  </si>
  <si>
    <t>Redressement</t>
  </si>
  <si>
    <t xml:space="preserve">Redressement dépassement encadrement </t>
  </si>
  <si>
    <t>Redressement dépassement autres fonctions</t>
  </si>
  <si>
    <t>Dépassement initial</t>
  </si>
  <si>
    <t>Dépassement restant</t>
  </si>
  <si>
    <t>Redressement dépassement "projet spécifiques" (hrs)</t>
  </si>
  <si>
    <t>Redressement dépassement "projet spécifiques" FF</t>
  </si>
  <si>
    <t>Calcul Redressement</t>
  </si>
  <si>
    <t>HPE réelles /Hrs encadrement réelles (ratio)</t>
  </si>
  <si>
    <t>HPE réelles / 0,75</t>
  </si>
  <si>
    <t>nouveau plafond éligible</t>
  </si>
  <si>
    <t>hrs RTT déclarées</t>
  </si>
  <si>
    <t>à redresser</t>
  </si>
  <si>
    <t>Nouveau Plafond FF</t>
  </si>
  <si>
    <t>Frais déclarés</t>
  </si>
  <si>
    <t>Répartition du redressement</t>
  </si>
  <si>
    <t>Ajustement Recettes</t>
  </si>
  <si>
    <t>Dropdown82</t>
  </si>
  <si>
    <t>Nom Gestionnaire</t>
  </si>
  <si>
    <t>Réviseur externe</t>
  </si>
  <si>
    <t>Total heures d'absences</t>
  </si>
  <si>
    <t>Autres fonctions max. éligible</t>
  </si>
  <si>
    <t>Heures CRF Covid</t>
  </si>
  <si>
    <t>Remboursement CRF COVID</t>
  </si>
  <si>
    <t>COVID-Encadrement</t>
  </si>
  <si>
    <t>COVID-Frais de gestion - Bâtiment</t>
  </si>
  <si>
    <t>COVID-Frais de gestion - Bureau</t>
  </si>
  <si>
    <t>COVID-Frais de gestion - Autres</t>
  </si>
  <si>
    <t>COVID-Frais de gestion - Pharmacie - soins</t>
  </si>
  <si>
    <t>COVID-Admin. centrale - Chargé(e) de direction</t>
  </si>
  <si>
    <t>COVID-Admin. centrale - Compta - Révision</t>
  </si>
  <si>
    <t>COVID-Admin. centrale - Salaires</t>
  </si>
  <si>
    <t>COVID-Admin. centrale - RH</t>
  </si>
  <si>
    <t>COVID-Admin. centrale - IT management</t>
  </si>
  <si>
    <t>COVID-Admin. centrale - Direction</t>
  </si>
  <si>
    <t>COVID-Admin. centrale - Supervision</t>
  </si>
  <si>
    <t>COVID-Admin. centrale - Formation</t>
  </si>
  <si>
    <t>COVID-Repas - Interne</t>
  </si>
  <si>
    <t>COVID-Nettoyage - Interne</t>
  </si>
  <si>
    <t>COVID-Transport</t>
  </si>
  <si>
    <t>COVID-Projets spécifiques &amp; EBS</t>
  </si>
  <si>
    <t>COVID-Repas - Externe</t>
  </si>
  <si>
    <t>COVID-Nettoyage - Externe</t>
  </si>
  <si>
    <t>TABLEAU DE SYNTHESE DES FRAIS SUPPLEMENTAIRE EN RELATION AVEC LA PANDEMIE COVID-19</t>
  </si>
  <si>
    <t>COVID</t>
  </si>
  <si>
    <t>Participation Etat</t>
  </si>
  <si>
    <t>Taux de participation de l'Etat</t>
  </si>
  <si>
    <t>Participation Commune</t>
  </si>
  <si>
    <t>FP SAS groupe A</t>
  </si>
  <si>
    <t>FP SAS groupe B</t>
  </si>
  <si>
    <t>FP Commune groupe A</t>
  </si>
  <si>
    <t>FP Commune groupe B</t>
  </si>
  <si>
    <t>Fonction FF</t>
  </si>
  <si>
    <t>Fonction FP</t>
  </si>
  <si>
    <t>Total coûts autres fonctions (FF)</t>
  </si>
  <si>
    <t>Frais heures prestées en COVID entre 8:00 et 13:002</t>
  </si>
  <si>
    <t>Frais heures prestées en COVID en surplus du contrat de base en journée à partir de 13:003</t>
  </si>
  <si>
    <t>Coûts personnel (heures prestées entre 8:00 et 13:00)</t>
  </si>
  <si>
    <t>Coûts personnel (heures en surplus du contrat en journée à partir de 13:00)</t>
  </si>
  <si>
    <t>HPE budgétées 2020</t>
  </si>
  <si>
    <t>Frais heures prestées en COVID en surplus du contrat de base en journée à partir de 13:00</t>
  </si>
  <si>
    <t>Frais heures prestées en COVID entre 8:00 et 13:00</t>
  </si>
  <si>
    <t>Taux estimatif du remboursement CRF dans le remboursement mutualité</t>
  </si>
  <si>
    <t>heures annuelles
selon contrat(s)</t>
  </si>
  <si>
    <t>dont heures additionnelles Avenant / personnel engagé spécifique COVID jusqu'au 31/12/2020</t>
  </si>
  <si>
    <t>Dont frais liés à la pandémie COVID-19 
(hors calcul du dépassement)</t>
  </si>
  <si>
    <t>DETAILS DES FRAIS DE PERSONNEL D'ENCADREMENT SUPPLEMENTAIRE EN RELATION AVEC LA PANDEMIE COVID-19 (hors calcul dépassement)</t>
  </si>
  <si>
    <t>Méthode de détermination</t>
  </si>
  <si>
    <t>FP COMMUNE heures prestées en COVID en surplus du contrat de base en journée à partir de 13:00</t>
  </si>
  <si>
    <t>FP COMMUNE heures prestées en COVID entre 8:00 et 13:00</t>
  </si>
  <si>
    <t>FP SAS heures prestées en COVID en surplus du contrat de base en journée à partir de 13:00</t>
  </si>
  <si>
    <t>FP SAS heures prestées en COVID entre 8:00 et 13:00</t>
  </si>
  <si>
    <t>Détails des heures en relation avec la pandémie COVID-19</t>
  </si>
  <si>
    <t>Taux du remboursement mutualité</t>
  </si>
  <si>
    <t>Différence entre 2019 et 2020</t>
  </si>
  <si>
    <t>Remboursement mutualité 2019</t>
  </si>
  <si>
    <t>Remboursement mutualité 2020</t>
  </si>
  <si>
    <t>Estimation de la part CRF</t>
  </si>
  <si>
    <t>Congé pour raisons familiales (COVID)</t>
  </si>
  <si>
    <t>Heures de maladies 2019</t>
  </si>
  <si>
    <t>Heures de maladies 2020</t>
  </si>
  <si>
    <t>€</t>
  </si>
  <si>
    <t>hrs</t>
  </si>
  <si>
    <r>
      <t xml:space="preserve">dont heures prestées en COVID entre 8:00 et 13:00 </t>
    </r>
    <r>
      <rPr>
        <u/>
        <sz val="11"/>
        <color theme="1"/>
        <rFont val="Calibri"/>
        <family val="2"/>
        <scheme val="minor"/>
      </rPr>
      <t>pendant la période scolaire</t>
    </r>
    <r>
      <rPr>
        <sz val="11"/>
        <color theme="1"/>
        <rFont val="Calibri"/>
        <family val="2"/>
        <scheme val="minor"/>
      </rPr>
      <t xml:space="preserve">
(période du 25/05/2020 - 15/07/2020)</t>
    </r>
  </si>
  <si>
    <t>Nom SEA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</si>
</sst>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quot;€&quot;* #,##0.00_);_(&quot;€&quot;* \(#,##0.00\);_(&quot;€&quot;* &quot;-&quot;??_);_(@_)"/>
    <numFmt numFmtId="165" formatCode="_(* #,##0.00_);_(* \(#,##0.00\);_(* &quot;-&quot;??_);_(@_)"/>
    <numFmt numFmtId="166" formatCode="0.0%"/>
    <numFmt numFmtId="167" formatCode="[$-F800]dddd\,\ mmmm\ dd\,\ yyyy"/>
    <numFmt numFmtId="168" formatCode="#,##0.00\ &quot;€&quot;"/>
    <numFmt numFmtId="169" formatCode="#,##0.00_ ;\-#,##0.00\ "/>
  </numFmts>
  <fonts count="33"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8"/>
      <color theme="1"/>
      <name val="Calibri"/>
      <family val="2"/>
      <scheme val="minor"/>
    </font>
    <font>
      <sz val="9"/>
      <color indexed="81"/>
      <name val="Tahoma"/>
      <family val="2"/>
    </font>
    <font>
      <b/>
      <sz val="9"/>
      <color indexed="81"/>
      <name val="Tahoma"/>
      <family val="2"/>
    </font>
    <font>
      <sz val="9"/>
      <color theme="1"/>
      <name val="Calibri"/>
      <family val="2"/>
      <scheme val="minor"/>
    </font>
    <font>
      <i/>
      <u/>
      <sz val="12"/>
      <color theme="1"/>
      <name val="Calibri"/>
      <family val="2"/>
      <scheme val="minor"/>
    </font>
    <font>
      <sz val="12"/>
      <color theme="1"/>
      <name val="Calibri"/>
      <family val="2"/>
      <scheme val="minor"/>
    </font>
    <font>
      <u/>
      <sz val="12"/>
      <color theme="1"/>
      <name val="Calibri"/>
      <family val="2"/>
      <scheme val="minor"/>
    </font>
    <font>
      <b/>
      <sz val="12"/>
      <name val="Calibri"/>
      <family val="2"/>
      <scheme val="minor"/>
    </font>
    <font>
      <sz val="12"/>
      <name val="Calibri"/>
      <family val="2"/>
      <scheme val="minor"/>
    </font>
    <font>
      <u/>
      <sz val="11"/>
      <color theme="10"/>
      <name val="Calibri"/>
      <family val="2"/>
      <scheme val="minor"/>
    </font>
    <font>
      <i/>
      <sz val="12"/>
      <name val="Calibri"/>
      <family val="2"/>
      <scheme val="minor"/>
    </font>
    <font>
      <b/>
      <i/>
      <sz val="12"/>
      <name val="Calibri"/>
      <family val="2"/>
      <scheme val="minor"/>
    </font>
    <font>
      <b/>
      <sz val="11"/>
      <color rgb="FFFF0000"/>
      <name val="Calibri"/>
      <family val="2"/>
      <scheme val="minor"/>
    </font>
    <font>
      <b/>
      <sz val="12"/>
      <color rgb="FFFF0000"/>
      <name val="Calibri"/>
      <family val="2"/>
      <scheme val="minor"/>
    </font>
    <font>
      <sz val="11"/>
      <color theme="1"/>
      <name val="Calibri"/>
      <family val="2"/>
      <scheme val="minor"/>
    </font>
    <font>
      <sz val="8"/>
      <name val="Calibri"/>
      <family val="2"/>
      <scheme val="minor"/>
    </font>
    <font>
      <b/>
      <sz val="8"/>
      <color rgb="FFFF0000"/>
      <name val="Calibri"/>
      <family val="2"/>
      <scheme val="minor"/>
    </font>
    <font>
      <sz val="10"/>
      <name val="Arial"/>
      <family val="2"/>
      <charset val="1"/>
    </font>
    <font>
      <b/>
      <i/>
      <sz val="11"/>
      <color theme="1"/>
      <name val="Calibri"/>
      <family val="2"/>
      <scheme val="minor"/>
    </font>
    <font>
      <b/>
      <sz val="12"/>
      <color theme="1"/>
      <name val="Calibri"/>
      <family val="2"/>
      <scheme val="minor"/>
    </font>
    <font>
      <b/>
      <sz val="22"/>
      <color theme="1"/>
      <name val="Calibri"/>
      <family val="2"/>
      <scheme val="minor"/>
    </font>
    <font>
      <i/>
      <sz val="10"/>
      <color theme="1"/>
      <name val="Calibri"/>
      <family val="2"/>
      <scheme val="minor"/>
    </font>
    <font>
      <sz val="10"/>
      <color theme="1"/>
      <name val="Calibri"/>
      <family val="2"/>
      <scheme val="minor"/>
    </font>
    <font>
      <b/>
      <u/>
      <sz val="11"/>
      <color theme="10"/>
      <name val="Calibri"/>
      <family val="2"/>
      <scheme val="minor"/>
    </font>
    <font>
      <b/>
      <i/>
      <sz val="10"/>
      <color theme="1"/>
      <name val="Calibri"/>
      <family val="2"/>
      <scheme val="minor"/>
    </font>
    <font>
      <sz val="11"/>
      <color theme="0"/>
      <name val="Calibri"/>
      <family val="2"/>
      <scheme val="minor"/>
    </font>
    <font>
      <sz val="11"/>
      <name val="Calibri"/>
      <family val="2"/>
      <scheme val="minor"/>
    </font>
    <font>
      <u/>
      <sz val="11"/>
      <color theme="1"/>
      <name val="Calibri"/>
      <family val="2"/>
      <scheme val="minor"/>
    </font>
    <font>
      <i/>
      <sz val="11"/>
      <color theme="0"/>
      <name val="Calibri"/>
      <family val="2"/>
      <scheme val="minor"/>
    </font>
  </fonts>
  <fills count="13">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rgb="FF92D050"/>
        <bgColor indexed="64"/>
      </patternFill>
    </fill>
    <fill>
      <patternFill patternType="solid">
        <fgColor theme="8" tint="0.79998168889431442"/>
        <bgColor indexed="64"/>
      </patternFill>
    </fill>
    <fill>
      <patternFill patternType="solid">
        <fgColor rgb="FFFF0000"/>
        <bgColor indexed="64"/>
      </patternFill>
    </fill>
  </fills>
  <borders count="107">
    <border>
      <left/>
      <right/>
      <top/>
      <bottom/>
      <diagonal/>
    </border>
    <border>
      <left/>
      <right/>
      <top/>
      <bottom style="thin">
        <color indexed="64"/>
      </bottom>
      <diagonal/>
    </border>
    <border>
      <left/>
      <right/>
      <top style="hair">
        <color auto="1"/>
      </top>
      <bottom style="hair">
        <color auto="1"/>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hair">
        <color indexed="64"/>
      </bottom>
      <diagonal/>
    </border>
    <border>
      <left/>
      <right style="thin">
        <color indexed="64"/>
      </right>
      <top style="thin">
        <color indexed="64"/>
      </top>
      <bottom style="thin">
        <color indexed="64"/>
      </bottom>
      <diagonal/>
    </border>
    <border>
      <left style="dashed">
        <color auto="1"/>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top/>
      <bottom style="dashed">
        <color auto="1"/>
      </bottom>
      <diagonal/>
    </border>
    <border>
      <left/>
      <right/>
      <top style="dashed">
        <color auto="1"/>
      </top>
      <bottom style="dashed">
        <color auto="1"/>
      </bottom>
      <diagonal/>
    </border>
    <border>
      <left/>
      <right/>
      <top style="dashed">
        <color auto="1"/>
      </top>
      <bottom/>
      <diagonal/>
    </border>
    <border>
      <left/>
      <right style="thin">
        <color theme="4" tint="0.39997558519241921"/>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theme="4" tint="0.39997558519241921"/>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auto="1"/>
      </top>
      <bottom style="dashed">
        <color auto="1"/>
      </bottom>
      <diagonal/>
    </border>
    <border>
      <left/>
      <right style="thin">
        <color indexed="64"/>
      </right>
      <top style="dash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medium">
        <color indexed="64"/>
      </right>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diagonal/>
    </border>
    <border>
      <left style="medium">
        <color indexed="64"/>
      </left>
      <right style="medium">
        <color indexed="64"/>
      </right>
      <top style="dashed">
        <color indexed="64"/>
      </top>
      <bottom style="medium">
        <color indexed="64"/>
      </bottom>
      <diagonal/>
    </border>
    <border>
      <left style="medium">
        <color indexed="64"/>
      </left>
      <right style="medium">
        <color indexed="64"/>
      </right>
      <top style="medium">
        <color indexed="64"/>
      </top>
      <bottom style="dashed">
        <color indexed="64"/>
      </bottom>
      <diagonal/>
    </border>
    <border>
      <left style="medium">
        <color indexed="64"/>
      </left>
      <right style="dashed">
        <color indexed="64"/>
      </right>
      <top/>
      <bottom/>
      <diagonal/>
    </border>
    <border>
      <left style="dashed">
        <color indexed="64"/>
      </left>
      <right style="dashed">
        <color indexed="64"/>
      </right>
      <top/>
      <bottom/>
      <diagonal/>
    </border>
    <border>
      <left style="dashed">
        <color indexed="64"/>
      </left>
      <right style="medium">
        <color indexed="64"/>
      </right>
      <top/>
      <bottom/>
      <diagonal/>
    </border>
    <border>
      <left style="medium">
        <color indexed="64"/>
      </left>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style="dashed">
        <color indexed="64"/>
      </right>
      <top style="medium">
        <color indexed="64"/>
      </top>
      <bottom style="dashed">
        <color indexed="64"/>
      </bottom>
      <diagonal/>
    </border>
    <border>
      <left style="dashed">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medium">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style="medium">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style="medium">
        <color indexed="64"/>
      </right>
      <top/>
      <bottom style="medium">
        <color indexed="64"/>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dashed">
        <color indexed="64"/>
      </left>
      <right style="medium">
        <color indexed="64"/>
      </right>
      <top style="medium">
        <color indexed="64"/>
      </top>
      <bottom/>
      <diagonal/>
    </border>
    <border>
      <left style="medium">
        <color indexed="64"/>
      </left>
      <right style="dashed">
        <color indexed="64"/>
      </right>
      <top style="hair">
        <color indexed="64"/>
      </top>
      <bottom style="hair">
        <color indexed="64"/>
      </bottom>
      <diagonal/>
    </border>
    <border>
      <left style="dashed">
        <color indexed="64"/>
      </left>
      <right style="dashed">
        <color indexed="64"/>
      </right>
      <top style="hair">
        <color indexed="64"/>
      </top>
      <bottom style="hair">
        <color indexed="64"/>
      </bottom>
      <diagonal/>
    </border>
    <border>
      <left style="dashed">
        <color indexed="64"/>
      </left>
      <right style="medium">
        <color indexed="64"/>
      </right>
      <top style="hair">
        <color indexed="64"/>
      </top>
      <bottom style="hair">
        <color indexed="64"/>
      </bottom>
      <diagonal/>
    </border>
    <border>
      <left style="medium">
        <color indexed="64"/>
      </left>
      <right style="medium">
        <color indexed="64"/>
      </right>
      <top/>
      <bottom style="medium">
        <color indexed="64"/>
      </bottom>
      <diagonal/>
    </border>
    <border>
      <left/>
      <right style="dashed">
        <color indexed="64"/>
      </right>
      <top style="medium">
        <color indexed="64"/>
      </top>
      <bottom style="medium">
        <color indexed="64"/>
      </bottom>
      <diagonal/>
    </border>
  </borders>
  <cellStyleXfs count="6">
    <xf numFmtId="0" fontId="0" fillId="0" borderId="0"/>
    <xf numFmtId="165"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3" fillId="0" borderId="0" applyNumberFormat="0" applyFill="0" applyBorder="0" applyAlignment="0" applyProtection="0"/>
    <xf numFmtId="0" fontId="21" fillId="0" borderId="0"/>
  </cellStyleXfs>
  <cellXfs count="596">
    <xf numFmtId="0" fontId="0" fillId="0" borderId="0" xfId="0"/>
    <xf numFmtId="9" fontId="0" fillId="0" borderId="0" xfId="0" applyNumberFormat="1"/>
    <xf numFmtId="0" fontId="0" fillId="2" borderId="0" xfId="0" applyFill="1" applyProtection="1">
      <protection hidden="1"/>
    </xf>
    <xf numFmtId="0" fontId="0" fillId="2" borderId="0" xfId="0" applyFill="1" applyBorder="1" applyProtection="1">
      <protection hidden="1"/>
    </xf>
    <xf numFmtId="0" fontId="0" fillId="2" borderId="1" xfId="0" applyFill="1" applyBorder="1" applyProtection="1">
      <protection hidden="1"/>
    </xf>
    <xf numFmtId="0" fontId="0" fillId="2" borderId="0" xfId="0" applyFill="1" applyAlignment="1" applyProtection="1">
      <alignment wrapText="1"/>
      <protection hidden="1"/>
    </xf>
    <xf numFmtId="0" fontId="0" fillId="0" borderId="0" xfId="0" applyFill="1" applyAlignment="1" applyProtection="1">
      <alignment horizontal="center" vertical="center" wrapText="1"/>
      <protection hidden="1"/>
    </xf>
    <xf numFmtId="0" fontId="0" fillId="0" borderId="0" xfId="0" applyFill="1" applyProtection="1">
      <protection hidden="1"/>
    </xf>
    <xf numFmtId="0" fontId="0" fillId="0" borderId="0" xfId="0" applyFill="1" applyProtection="1">
      <protection locked="0"/>
    </xf>
    <xf numFmtId="165" fontId="0" fillId="0" borderId="0" xfId="1" applyFont="1" applyFill="1" applyProtection="1">
      <protection locked="0"/>
    </xf>
    <xf numFmtId="14" fontId="0" fillId="0" borderId="0" xfId="0" applyNumberFormat="1" applyFill="1" applyProtection="1">
      <protection locked="0"/>
    </xf>
    <xf numFmtId="0" fontId="2" fillId="2" borderId="0" xfId="0" applyFont="1" applyFill="1" applyProtection="1">
      <protection hidden="1"/>
    </xf>
    <xf numFmtId="0" fontId="0" fillId="2" borderId="0" xfId="0" applyFont="1" applyFill="1" applyProtection="1">
      <protection hidden="1"/>
    </xf>
    <xf numFmtId="0" fontId="0" fillId="3" borderId="0" xfId="0" applyFill="1" applyProtection="1">
      <protection hidden="1"/>
    </xf>
    <xf numFmtId="0" fontId="2" fillId="5" borderId="0" xfId="0" applyFont="1" applyFill="1" applyProtection="1">
      <protection hidden="1"/>
    </xf>
    <xf numFmtId="9" fontId="2" fillId="2" borderId="0" xfId="0" applyNumberFormat="1" applyFont="1" applyFill="1" applyProtection="1">
      <protection hidden="1"/>
    </xf>
    <xf numFmtId="165" fontId="0" fillId="0" borderId="0" xfId="0" applyNumberFormat="1" applyFill="1" applyProtection="1">
      <protection locked="0"/>
    </xf>
    <xf numFmtId="165" fontId="0" fillId="4" borderId="0" xfId="0" applyNumberFormat="1" applyFill="1" applyProtection="1">
      <protection hidden="1"/>
    </xf>
    <xf numFmtId="0" fontId="0" fillId="0" borderId="0" xfId="0" applyFill="1" applyAlignment="1" applyProtection="1">
      <alignment horizontal="center"/>
      <protection locked="0"/>
    </xf>
    <xf numFmtId="0" fontId="2" fillId="0" borderId="0" xfId="0" applyFont="1" applyFill="1" applyProtection="1">
      <protection locked="0"/>
    </xf>
    <xf numFmtId="0" fontId="2" fillId="2" borderId="0" xfId="0" applyFont="1" applyFill="1" applyAlignment="1" applyProtection="1">
      <alignment horizontal="left"/>
      <protection hidden="1"/>
    </xf>
    <xf numFmtId="1" fontId="0" fillId="0" borderId="0" xfId="0" applyNumberFormat="1" applyFill="1" applyProtection="1">
      <protection locked="0"/>
    </xf>
    <xf numFmtId="0" fontId="0" fillId="2" borderId="0" xfId="0" applyFill="1" applyAlignment="1" applyProtection="1">
      <alignment horizontal="center"/>
      <protection hidden="1"/>
    </xf>
    <xf numFmtId="0" fontId="0" fillId="2" borderId="0" xfId="0" applyFill="1" applyAlignment="1" applyProtection="1">
      <alignment vertical="top"/>
      <protection hidden="1"/>
    </xf>
    <xf numFmtId="0" fontId="0" fillId="0" borderId="0" xfId="0" applyFill="1"/>
    <xf numFmtId="0" fontId="0" fillId="2" borderId="0" xfId="0" applyFill="1"/>
    <xf numFmtId="0" fontId="2" fillId="2" borderId="0" xfId="0" applyFont="1" applyFill="1"/>
    <xf numFmtId="165" fontId="0" fillId="0" borderId="0" xfId="0" applyNumberFormat="1" applyFont="1" applyFill="1" applyProtection="1">
      <protection hidden="1"/>
    </xf>
    <xf numFmtId="0" fontId="0" fillId="5" borderId="10" xfId="0" applyFill="1" applyBorder="1" applyProtection="1">
      <protection locked="0"/>
    </xf>
    <xf numFmtId="0" fontId="0" fillId="0" borderId="0" xfId="0" applyFill="1" applyAlignment="1" applyProtection="1">
      <alignment horizontal="center"/>
      <protection hidden="1"/>
    </xf>
    <xf numFmtId="14" fontId="0" fillId="0" borderId="0" xfId="0" applyNumberFormat="1" applyFill="1" applyAlignment="1" applyProtection="1">
      <alignment horizontal="center"/>
      <protection locked="0"/>
    </xf>
    <xf numFmtId="164" fontId="0" fillId="0" borderId="0" xfId="0" applyNumberFormat="1"/>
    <xf numFmtId="0" fontId="2" fillId="7" borderId="12" xfId="0" applyFont="1" applyFill="1" applyBorder="1" applyProtection="1">
      <protection hidden="1"/>
    </xf>
    <xf numFmtId="0" fontId="0" fillId="7" borderId="4" xfId="0" applyFill="1" applyBorder="1" applyProtection="1">
      <protection hidden="1"/>
    </xf>
    <xf numFmtId="0" fontId="0" fillId="7" borderId="10" xfId="0" applyFill="1" applyBorder="1" applyProtection="1">
      <protection hidden="1"/>
    </xf>
    <xf numFmtId="0" fontId="0" fillId="6" borderId="7" xfId="0" applyFill="1" applyBorder="1" applyAlignment="1" applyProtection="1">
      <alignment vertical="center"/>
      <protection hidden="1"/>
    </xf>
    <xf numFmtId="0" fontId="0" fillId="0" borderId="0" xfId="0" applyFill="1" applyAlignment="1" applyProtection="1">
      <alignment horizontal="center" vertical="center"/>
      <protection hidden="1"/>
    </xf>
    <xf numFmtId="0" fontId="0" fillId="2" borderId="0" xfId="0" applyFill="1" applyAlignment="1" applyProtection="1">
      <alignment horizontal="center" vertical="center"/>
      <protection hidden="1"/>
    </xf>
    <xf numFmtId="164" fontId="0" fillId="0" borderId="0" xfId="3" applyFont="1" applyFill="1" applyProtection="1">
      <protection locked="0"/>
    </xf>
    <xf numFmtId="0" fontId="0" fillId="4" borderId="0" xfId="0" applyFill="1" applyBorder="1" applyProtection="1">
      <protection hidden="1"/>
    </xf>
    <xf numFmtId="0" fontId="0" fillId="0" borderId="0" xfId="0" applyNumberFormat="1" applyFill="1" applyProtection="1">
      <protection locked="0"/>
    </xf>
    <xf numFmtId="165" fontId="0" fillId="4" borderId="0" xfId="0" applyNumberFormat="1" applyFill="1" applyBorder="1" applyProtection="1">
      <protection hidden="1"/>
    </xf>
    <xf numFmtId="165" fontId="0" fillId="3" borderId="7" xfId="1" applyFont="1" applyFill="1" applyBorder="1" applyProtection="1">
      <protection hidden="1"/>
    </xf>
    <xf numFmtId="0" fontId="0" fillId="8" borderId="36" xfId="0" applyFill="1" applyBorder="1" applyProtection="1">
      <protection locked="0"/>
    </xf>
    <xf numFmtId="0" fontId="0" fillId="8" borderId="37" xfId="0" applyFill="1" applyBorder="1" applyProtection="1">
      <protection locked="0"/>
    </xf>
    <xf numFmtId="0" fontId="0" fillId="8" borderId="38" xfId="0" applyFill="1" applyBorder="1" applyProtection="1">
      <protection locked="0"/>
    </xf>
    <xf numFmtId="0" fontId="0" fillId="5" borderId="7" xfId="0" applyFill="1" applyBorder="1" applyAlignment="1" applyProtection="1">
      <alignment wrapText="1"/>
      <protection hidden="1"/>
    </xf>
    <xf numFmtId="0" fontId="2" fillId="2" borderId="0" xfId="0" applyFont="1" applyFill="1" applyBorder="1" applyProtection="1">
      <protection hidden="1"/>
    </xf>
    <xf numFmtId="0" fontId="0" fillId="5" borderId="13" xfId="0" applyFill="1" applyBorder="1" applyProtection="1">
      <protection hidden="1"/>
    </xf>
    <xf numFmtId="0" fontId="0" fillId="5" borderId="14" xfId="0" applyFill="1" applyBorder="1" applyProtection="1">
      <protection hidden="1"/>
    </xf>
    <xf numFmtId="0" fontId="0" fillId="5" borderId="15" xfId="0" applyFill="1" applyBorder="1" applyProtection="1">
      <protection hidden="1"/>
    </xf>
    <xf numFmtId="164" fontId="0" fillId="0" borderId="0" xfId="3" applyFont="1"/>
    <xf numFmtId="0" fontId="0" fillId="0" borderId="39" xfId="0" applyFont="1" applyFill="1" applyBorder="1"/>
    <xf numFmtId="164" fontId="0" fillId="0" borderId="0" xfId="3" applyFont="1" applyBorder="1"/>
    <xf numFmtId="164" fontId="0" fillId="0" borderId="41" xfId="3" applyFont="1" applyBorder="1"/>
    <xf numFmtId="164" fontId="0" fillId="0" borderId="22" xfId="3" applyFont="1" applyBorder="1"/>
    <xf numFmtId="164" fontId="0" fillId="0" borderId="43" xfId="3" applyFont="1" applyBorder="1"/>
    <xf numFmtId="0" fontId="0" fillId="0" borderId="41" xfId="0" applyFont="1" applyFill="1" applyBorder="1"/>
    <xf numFmtId="0" fontId="0" fillId="0" borderId="0" xfId="0" applyBorder="1"/>
    <xf numFmtId="0" fontId="0" fillId="0" borderId="44" xfId="0" applyFont="1" applyFill="1" applyBorder="1"/>
    <xf numFmtId="0" fontId="0" fillId="0" borderId="46" xfId="0" applyBorder="1"/>
    <xf numFmtId="164" fontId="0" fillId="0" borderId="46" xfId="3" applyFont="1" applyBorder="1"/>
    <xf numFmtId="164" fontId="0" fillId="0" borderId="47" xfId="3" applyFont="1" applyBorder="1"/>
    <xf numFmtId="0" fontId="0" fillId="0" borderId="22" xfId="0" applyBorder="1"/>
    <xf numFmtId="0" fontId="0" fillId="0" borderId="0" xfId="0" applyFill="1" applyBorder="1" applyProtection="1">
      <protection locked="0"/>
    </xf>
    <xf numFmtId="165" fontId="0" fillId="7" borderId="36" xfId="1" applyFont="1" applyFill="1" applyBorder="1" applyProtection="1">
      <protection hidden="1"/>
    </xf>
    <xf numFmtId="164" fontId="0" fillId="7" borderId="36" xfId="3" applyFont="1" applyFill="1" applyBorder="1" applyProtection="1">
      <protection hidden="1"/>
    </xf>
    <xf numFmtId="164" fontId="0" fillId="7" borderId="37" xfId="3" applyFont="1" applyFill="1" applyBorder="1" applyProtection="1">
      <protection hidden="1"/>
    </xf>
    <xf numFmtId="164" fontId="0" fillId="7" borderId="38" xfId="3" applyFont="1" applyFill="1" applyBorder="1" applyProtection="1">
      <protection hidden="1"/>
    </xf>
    <xf numFmtId="0" fontId="0" fillId="7" borderId="7" xfId="0" applyFill="1" applyBorder="1"/>
    <xf numFmtId="164" fontId="0" fillId="3" borderId="7" xfId="3" applyFont="1" applyFill="1" applyBorder="1"/>
    <xf numFmtId="0" fontId="2" fillId="4" borderId="7" xfId="0" applyFont="1" applyFill="1" applyBorder="1" applyProtection="1">
      <protection hidden="1"/>
    </xf>
    <xf numFmtId="0" fontId="0" fillId="7" borderId="7" xfId="0" applyFill="1" applyBorder="1" applyProtection="1">
      <protection hidden="1"/>
    </xf>
    <xf numFmtId="0" fontId="16" fillId="2" borderId="0" xfId="0" applyFont="1" applyFill="1" applyProtection="1">
      <protection hidden="1"/>
    </xf>
    <xf numFmtId="0" fontId="9" fillId="2" borderId="0" xfId="0" applyFont="1" applyFill="1" applyProtection="1">
      <protection hidden="1"/>
    </xf>
    <xf numFmtId="0" fontId="17" fillId="2" borderId="0" xfId="0" applyFont="1" applyFill="1" applyProtection="1">
      <protection hidden="1"/>
    </xf>
    <xf numFmtId="0" fontId="0" fillId="7" borderId="0" xfId="0" applyFill="1" applyBorder="1" applyProtection="1">
      <protection locked="0"/>
    </xf>
    <xf numFmtId="164" fontId="0" fillId="3" borderId="7" xfId="3" applyFont="1" applyFill="1" applyBorder="1" applyAlignment="1"/>
    <xf numFmtId="164" fontId="0" fillId="0" borderId="0" xfId="0" applyNumberFormat="1" applyFont="1"/>
    <xf numFmtId="0" fontId="0" fillId="2" borderId="1" xfId="0" applyFill="1" applyBorder="1"/>
    <xf numFmtId="0" fontId="18" fillId="0" borderId="0" xfId="0" applyFont="1"/>
    <xf numFmtId="0" fontId="0" fillId="0" borderId="0" xfId="0" applyFill="1" applyBorder="1" applyAlignment="1">
      <alignment vertical="center" textRotation="90"/>
    </xf>
    <xf numFmtId="0" fontId="0" fillId="0" borderId="0" xfId="0" applyFill="1" applyBorder="1"/>
    <xf numFmtId="0" fontId="0" fillId="2" borderId="45" xfId="0" applyFill="1" applyBorder="1" applyProtection="1">
      <protection hidden="1"/>
    </xf>
    <xf numFmtId="0" fontId="0" fillId="2" borderId="47" xfId="0" applyFill="1" applyBorder="1" applyProtection="1">
      <protection hidden="1"/>
    </xf>
    <xf numFmtId="0" fontId="0" fillId="2" borderId="40" xfId="0" applyFill="1" applyBorder="1" applyProtection="1">
      <protection hidden="1"/>
    </xf>
    <xf numFmtId="0" fontId="0" fillId="2" borderId="41" xfId="0" applyFill="1" applyBorder="1" applyProtection="1">
      <protection hidden="1"/>
    </xf>
    <xf numFmtId="0" fontId="0" fillId="2" borderId="51" xfId="0" applyFill="1" applyBorder="1" applyProtection="1">
      <protection hidden="1"/>
    </xf>
    <xf numFmtId="0" fontId="0" fillId="2" borderId="52" xfId="0" applyFill="1" applyBorder="1" applyProtection="1">
      <protection hidden="1"/>
    </xf>
    <xf numFmtId="0" fontId="0" fillId="2" borderId="53" xfId="0" applyFill="1" applyBorder="1" applyProtection="1">
      <protection hidden="1"/>
    </xf>
    <xf numFmtId="0" fontId="0" fillId="2" borderId="54" xfId="0" applyFill="1" applyBorder="1" applyProtection="1">
      <protection hidden="1"/>
    </xf>
    <xf numFmtId="0" fontId="0" fillId="2" borderId="42" xfId="0" applyFill="1" applyBorder="1" applyProtection="1">
      <protection hidden="1"/>
    </xf>
    <xf numFmtId="0" fontId="0" fillId="2" borderId="22" xfId="0" applyFill="1" applyBorder="1" applyProtection="1">
      <protection hidden="1"/>
    </xf>
    <xf numFmtId="0" fontId="0" fillId="2" borderId="43" xfId="0" applyFill="1" applyBorder="1" applyProtection="1">
      <protection hidden="1"/>
    </xf>
    <xf numFmtId="0" fontId="16" fillId="2" borderId="0" xfId="0" applyFont="1" applyFill="1" applyAlignment="1" applyProtection="1">
      <alignment horizontal="center" vertical="center"/>
      <protection hidden="1"/>
    </xf>
    <xf numFmtId="0" fontId="0" fillId="2" borderId="3" xfId="0" applyFill="1" applyBorder="1"/>
    <xf numFmtId="0" fontId="0" fillId="2" borderId="8" xfId="0" applyFill="1" applyBorder="1"/>
    <xf numFmtId="0" fontId="0" fillId="2" borderId="55" xfId="0" applyFill="1" applyBorder="1"/>
    <xf numFmtId="0" fontId="0" fillId="2" borderId="5" xfId="0" applyFill="1" applyBorder="1"/>
    <xf numFmtId="0" fontId="0" fillId="2" borderId="0" xfId="0" applyFill="1" applyBorder="1"/>
    <xf numFmtId="0" fontId="0" fillId="2" borderId="56" xfId="0" applyFill="1" applyBorder="1"/>
    <xf numFmtId="0" fontId="0" fillId="2" borderId="6" xfId="0" applyFill="1" applyBorder="1"/>
    <xf numFmtId="0" fontId="0" fillId="2" borderId="57" xfId="0" applyFill="1" applyBorder="1"/>
    <xf numFmtId="0" fontId="2" fillId="4" borderId="12" xfId="0" applyFont="1" applyFill="1" applyBorder="1"/>
    <xf numFmtId="0" fontId="0" fillId="4" borderId="4" xfId="0" applyFill="1" applyBorder="1"/>
    <xf numFmtId="0" fontId="0" fillId="4" borderId="10" xfId="0" applyFill="1" applyBorder="1"/>
    <xf numFmtId="0" fontId="0" fillId="2" borderId="0" xfId="0" applyFill="1" applyBorder="1" applyAlignment="1">
      <alignment horizontal="left"/>
    </xf>
    <xf numFmtId="0" fontId="0" fillId="2" borderId="56" xfId="0" applyFill="1" applyBorder="1" applyAlignment="1">
      <alignment horizontal="left"/>
    </xf>
    <xf numFmtId="0" fontId="2" fillId="2" borderId="0" xfId="0" applyFont="1" applyFill="1" applyBorder="1"/>
    <xf numFmtId="165" fontId="0" fillId="2" borderId="8" xfId="1" applyFont="1" applyFill="1" applyBorder="1"/>
    <xf numFmtId="165" fontId="0" fillId="2" borderId="8" xfId="0" applyNumberFormat="1" applyFill="1" applyBorder="1"/>
    <xf numFmtId="165" fontId="0" fillId="2" borderId="0" xfId="1" applyFont="1" applyFill="1" applyBorder="1"/>
    <xf numFmtId="165" fontId="0" fillId="2" borderId="0" xfId="0" applyNumberFormat="1" applyFill="1" applyBorder="1"/>
    <xf numFmtId="165" fontId="0" fillId="2" borderId="1" xfId="0" applyNumberFormat="1" applyFill="1" applyBorder="1"/>
    <xf numFmtId="0" fontId="0" fillId="2" borderId="8" xfId="0" applyFill="1" applyBorder="1" applyAlignment="1">
      <alignment horizontal="left"/>
    </xf>
    <xf numFmtId="0" fontId="2" fillId="2" borderId="3" xfId="0" applyFont="1" applyFill="1" applyBorder="1"/>
    <xf numFmtId="0" fontId="0" fillId="2" borderId="55" xfId="0" applyFill="1" applyBorder="1" applyAlignment="1">
      <alignment horizontal="left"/>
    </xf>
    <xf numFmtId="0" fontId="2" fillId="2" borderId="5" xfId="0" applyFont="1" applyFill="1" applyBorder="1"/>
    <xf numFmtId="0" fontId="2" fillId="2" borderId="0" xfId="0" applyFont="1" applyFill="1" applyBorder="1" applyAlignment="1">
      <alignment horizontal="left"/>
    </xf>
    <xf numFmtId="9" fontId="2" fillId="2" borderId="0" xfId="0" applyNumberFormat="1" applyFont="1" applyFill="1" applyBorder="1" applyAlignment="1">
      <alignment horizontal="left"/>
    </xf>
    <xf numFmtId="0" fontId="2" fillId="5" borderId="0" xfId="0" applyFont="1" applyFill="1" applyBorder="1" applyAlignment="1">
      <alignment horizontal="left"/>
    </xf>
    <xf numFmtId="166" fontId="0" fillId="2" borderId="0" xfId="2" applyNumberFormat="1" applyFont="1" applyFill="1"/>
    <xf numFmtId="0" fontId="0" fillId="7" borderId="12" xfId="0" applyFill="1" applyBorder="1" applyProtection="1">
      <protection hidden="1"/>
    </xf>
    <xf numFmtId="165" fontId="0" fillId="3" borderId="4" xfId="1" applyFont="1" applyFill="1" applyBorder="1" applyProtection="1">
      <protection hidden="1"/>
    </xf>
    <xf numFmtId="165" fontId="0" fillId="3" borderId="10" xfId="1" applyFont="1" applyFill="1" applyBorder="1" applyProtection="1">
      <protection hidden="1"/>
    </xf>
    <xf numFmtId="165" fontId="0" fillId="2" borderId="56" xfId="0" applyNumberFormat="1" applyFill="1" applyBorder="1"/>
    <xf numFmtId="165" fontId="0" fillId="2" borderId="55" xfId="1" applyFont="1" applyFill="1" applyBorder="1"/>
    <xf numFmtId="0" fontId="2" fillId="2" borderId="8" xfId="0" applyFont="1" applyFill="1" applyBorder="1"/>
    <xf numFmtId="165" fontId="2" fillId="2" borderId="55" xfId="1" applyFont="1" applyFill="1" applyBorder="1"/>
    <xf numFmtId="165" fontId="2" fillId="2" borderId="56" xfId="0" applyNumberFormat="1" applyFont="1" applyFill="1" applyBorder="1"/>
    <xf numFmtId="165" fontId="2" fillId="2" borderId="8" xfId="0" applyNumberFormat="1" applyFont="1" applyFill="1" applyBorder="1"/>
    <xf numFmtId="165" fontId="2" fillId="2" borderId="0" xfId="0" applyNumberFormat="1" applyFont="1" applyFill="1" applyBorder="1"/>
    <xf numFmtId="9" fontId="2" fillId="2" borderId="0" xfId="2" applyFont="1" applyFill="1" applyBorder="1" applyAlignment="1">
      <alignment horizontal="center"/>
    </xf>
    <xf numFmtId="0" fontId="0" fillId="2" borderId="3" xfId="0" applyFill="1" applyBorder="1" applyAlignment="1">
      <alignment horizontal="right"/>
    </xf>
    <xf numFmtId="0" fontId="0" fillId="2" borderId="5" xfId="0" applyFill="1" applyBorder="1" applyAlignment="1">
      <alignment horizontal="right"/>
    </xf>
    <xf numFmtId="0" fontId="0" fillId="7" borderId="4" xfId="0" applyFill="1" applyBorder="1"/>
    <xf numFmtId="0" fontId="0" fillId="7" borderId="10" xfId="0" applyFill="1" applyBorder="1"/>
    <xf numFmtId="14" fontId="0" fillId="2" borderId="56" xfId="2" applyNumberFormat="1" applyFont="1" applyFill="1" applyBorder="1"/>
    <xf numFmtId="14" fontId="0" fillId="2" borderId="56" xfId="0" applyNumberFormat="1" applyFill="1" applyBorder="1"/>
    <xf numFmtId="165" fontId="2" fillId="2" borderId="56" xfId="1" applyFont="1" applyFill="1" applyBorder="1"/>
    <xf numFmtId="164" fontId="2" fillId="2" borderId="56" xfId="3" applyFont="1" applyFill="1" applyBorder="1"/>
    <xf numFmtId="165" fontId="0" fillId="2" borderId="1" xfId="1" applyFont="1" applyFill="1" applyBorder="1"/>
    <xf numFmtId="0" fontId="2" fillId="7" borderId="12" xfId="0" applyFont="1" applyFill="1" applyBorder="1"/>
    <xf numFmtId="164" fontId="2" fillId="7" borderId="4" xfId="0" applyNumberFormat="1" applyFont="1" applyFill="1" applyBorder="1"/>
    <xf numFmtId="164" fontId="2" fillId="7" borderId="10" xfId="0" applyNumberFormat="1" applyFont="1" applyFill="1" applyBorder="1"/>
    <xf numFmtId="0" fontId="2" fillId="7" borderId="12" xfId="0" applyFont="1" applyFill="1" applyBorder="1" applyAlignment="1">
      <alignment horizontal="right"/>
    </xf>
    <xf numFmtId="0" fontId="22" fillId="7" borderId="12" xfId="0" applyFont="1" applyFill="1" applyBorder="1"/>
    <xf numFmtId="0" fontId="2" fillId="7" borderId="10" xfId="0" applyFont="1" applyFill="1" applyBorder="1"/>
    <xf numFmtId="0" fontId="22" fillId="7" borderId="10" xfId="0" applyFont="1" applyFill="1" applyBorder="1" applyAlignment="1">
      <alignment horizontal="center"/>
    </xf>
    <xf numFmtId="0" fontId="22" fillId="7" borderId="7" xfId="0" applyFont="1" applyFill="1" applyBorder="1" applyAlignment="1">
      <alignment horizontal="center"/>
    </xf>
    <xf numFmtId="0" fontId="0" fillId="2" borderId="58" xfId="0" applyFill="1" applyBorder="1"/>
    <xf numFmtId="164" fontId="0" fillId="2" borderId="59" xfId="3" applyFont="1" applyFill="1" applyBorder="1"/>
    <xf numFmtId="0" fontId="0" fillId="2" borderId="60" xfId="0" applyFill="1" applyBorder="1"/>
    <xf numFmtId="164" fontId="0" fillId="2" borderId="37" xfId="3" applyFont="1" applyFill="1" applyBorder="1"/>
    <xf numFmtId="0" fontId="0" fillId="2" borderId="61" xfId="0" applyFill="1" applyBorder="1"/>
    <xf numFmtId="164" fontId="0" fillId="2" borderId="62" xfId="3" applyFont="1" applyFill="1" applyBorder="1"/>
    <xf numFmtId="164" fontId="0" fillId="2" borderId="63" xfId="3" applyFont="1" applyFill="1" applyBorder="1"/>
    <xf numFmtId="164" fontId="0" fillId="2" borderId="64" xfId="3" applyFont="1" applyFill="1" applyBorder="1"/>
    <xf numFmtId="164" fontId="0" fillId="2" borderId="65" xfId="3" applyFont="1" applyFill="1" applyBorder="1"/>
    <xf numFmtId="0" fontId="2" fillId="7" borderId="4" xfId="0" applyFont="1" applyFill="1" applyBorder="1"/>
    <xf numFmtId="164" fontId="0" fillId="2" borderId="56" xfId="0" applyNumberFormat="1" applyFill="1" applyBorder="1"/>
    <xf numFmtId="164" fontId="0" fillId="2" borderId="0" xfId="0" applyNumberFormat="1" applyFill="1" applyBorder="1"/>
    <xf numFmtId="165" fontId="2" fillId="2" borderId="0" xfId="1" applyFont="1" applyFill="1" applyBorder="1"/>
    <xf numFmtId="0" fontId="2" fillId="2" borderId="6" xfId="0" applyFont="1" applyFill="1" applyBorder="1"/>
    <xf numFmtId="164" fontId="2" fillId="2" borderId="1" xfId="3" applyFont="1" applyFill="1" applyBorder="1"/>
    <xf numFmtId="0" fontId="2" fillId="2" borderId="1" xfId="0" applyFont="1" applyFill="1" applyBorder="1"/>
    <xf numFmtId="164" fontId="2" fillId="2" borderId="57" xfId="0" applyNumberFormat="1" applyFont="1" applyFill="1" applyBorder="1"/>
    <xf numFmtId="164" fontId="2" fillId="2" borderId="57" xfId="3" applyFont="1" applyFill="1" applyBorder="1"/>
    <xf numFmtId="164" fontId="2" fillId="2" borderId="55" xfId="0" applyNumberFormat="1" applyFont="1" applyFill="1" applyBorder="1"/>
    <xf numFmtId="0" fontId="2" fillId="7" borderId="12" xfId="0" applyFont="1" applyFill="1" applyBorder="1" applyAlignment="1">
      <alignment horizontal="center"/>
    </xf>
    <xf numFmtId="0" fontId="2" fillId="7" borderId="10" xfId="0" applyFont="1" applyFill="1" applyBorder="1" applyAlignment="1">
      <alignment horizontal="center"/>
    </xf>
    <xf numFmtId="0" fontId="0" fillId="2" borderId="6" xfId="0" applyFill="1" applyBorder="1" applyAlignment="1">
      <alignment horizontal="right"/>
    </xf>
    <xf numFmtId="0" fontId="2" fillId="2" borderId="3" xfId="0" applyFont="1" applyFill="1" applyBorder="1" applyAlignment="1">
      <alignment horizontal="right"/>
    </xf>
    <xf numFmtId="164" fontId="2" fillId="2" borderId="8" xfId="3" applyFont="1" applyFill="1" applyBorder="1"/>
    <xf numFmtId="164" fontId="2" fillId="2" borderId="56" xfId="0" applyNumberFormat="1" applyFont="1" applyFill="1" applyBorder="1"/>
    <xf numFmtId="165" fontId="0" fillId="2" borderId="37" xfId="1" applyFont="1" applyFill="1" applyBorder="1"/>
    <xf numFmtId="0" fontId="2" fillId="2" borderId="12" xfId="0" applyFont="1" applyFill="1" applyBorder="1"/>
    <xf numFmtId="164" fontId="2" fillId="2" borderId="10" xfId="0" applyNumberFormat="1" applyFont="1" applyFill="1" applyBorder="1"/>
    <xf numFmtId="165" fontId="0" fillId="2" borderId="59" xfId="1" applyFont="1" applyFill="1" applyBorder="1"/>
    <xf numFmtId="165" fontId="0" fillId="2" borderId="63" xfId="1" applyFont="1" applyFill="1" applyBorder="1"/>
    <xf numFmtId="165" fontId="0" fillId="2" borderId="64" xfId="1" applyFont="1" applyFill="1" applyBorder="1"/>
    <xf numFmtId="165" fontId="0" fillId="2" borderId="62" xfId="1" applyFont="1" applyFill="1" applyBorder="1"/>
    <xf numFmtId="165" fontId="0" fillId="2" borderId="65" xfId="1" applyFont="1" applyFill="1" applyBorder="1"/>
    <xf numFmtId="165" fontId="2" fillId="7" borderId="4" xfId="1" applyFont="1" applyFill="1" applyBorder="1"/>
    <xf numFmtId="165" fontId="2" fillId="7" borderId="10" xfId="1" applyFont="1" applyFill="1" applyBorder="1"/>
    <xf numFmtId="164" fontId="0" fillId="0" borderId="0" xfId="0" applyNumberFormat="1" applyFont="1" applyBorder="1"/>
    <xf numFmtId="0" fontId="23" fillId="3" borderId="66" xfId="0" applyFont="1" applyFill="1" applyBorder="1"/>
    <xf numFmtId="0" fontId="0" fillId="8" borderId="0" xfId="0" applyFill="1" applyProtection="1">
      <protection locked="0"/>
    </xf>
    <xf numFmtId="0" fontId="2" fillId="0" borderId="0" xfId="0" applyFont="1"/>
    <xf numFmtId="0" fontId="0" fillId="7" borderId="36" xfId="0" applyFill="1" applyBorder="1" applyProtection="1">
      <protection hidden="1"/>
    </xf>
    <xf numFmtId="165" fontId="0" fillId="7" borderId="0" xfId="1" applyFont="1" applyFill="1" applyProtection="1">
      <protection hidden="1"/>
    </xf>
    <xf numFmtId="164" fontId="0" fillId="7" borderId="0" xfId="3" applyFont="1" applyFill="1" applyProtection="1">
      <protection hidden="1"/>
    </xf>
    <xf numFmtId="0" fontId="0" fillId="7" borderId="7" xfId="0" applyFill="1" applyBorder="1" applyAlignment="1" applyProtection="1">
      <alignment horizontal="right"/>
      <protection hidden="1"/>
    </xf>
    <xf numFmtId="0" fontId="2" fillId="2" borderId="0" xfId="0" applyFont="1" applyFill="1" applyBorder="1" applyAlignment="1" applyProtection="1">
      <alignment horizontal="left"/>
      <protection hidden="1"/>
    </xf>
    <xf numFmtId="165" fontId="2" fillId="7" borderId="7" xfId="1" applyFont="1" applyFill="1" applyBorder="1" applyAlignment="1" applyProtection="1">
      <alignment horizontal="center"/>
      <protection hidden="1"/>
    </xf>
    <xf numFmtId="165" fontId="0" fillId="0" borderId="0" xfId="0" applyNumberFormat="1" applyFont="1" applyFill="1" applyProtection="1">
      <protection locked="0"/>
    </xf>
    <xf numFmtId="164" fontId="0" fillId="0" borderId="0" xfId="0" applyNumberFormat="1" applyFont="1" applyFill="1" applyProtection="1">
      <protection locked="0"/>
    </xf>
    <xf numFmtId="165" fontId="2" fillId="3" borderId="7" xfId="1" applyFont="1" applyFill="1" applyBorder="1" applyProtection="1">
      <protection hidden="1"/>
    </xf>
    <xf numFmtId="164" fontId="2" fillId="3" borderId="7" xfId="3" applyFont="1" applyFill="1" applyBorder="1" applyProtection="1">
      <protection hidden="1"/>
    </xf>
    <xf numFmtId="0" fontId="0" fillId="5" borderId="0" xfId="0" applyFill="1"/>
    <xf numFmtId="0" fontId="0" fillId="7" borderId="0" xfId="0" applyFill="1" applyProtection="1">
      <protection hidden="1"/>
    </xf>
    <xf numFmtId="0" fontId="0" fillId="4" borderId="0" xfId="0" applyFill="1" applyProtection="1">
      <protection hidden="1"/>
    </xf>
    <xf numFmtId="0" fontId="0" fillId="0" borderId="36" xfId="0" applyFill="1" applyBorder="1" applyProtection="1">
      <protection locked="0"/>
    </xf>
    <xf numFmtId="0" fontId="0" fillId="0" borderId="37" xfId="0" applyFill="1" applyBorder="1" applyProtection="1">
      <protection locked="0"/>
    </xf>
    <xf numFmtId="0" fontId="0" fillId="0" borderId="38" xfId="0" applyFill="1" applyBorder="1" applyProtection="1">
      <protection locked="0"/>
    </xf>
    <xf numFmtId="0" fontId="0" fillId="9" borderId="12" xfId="0" applyFill="1" applyBorder="1" applyAlignment="1">
      <alignment horizontal="right"/>
    </xf>
    <xf numFmtId="0" fontId="0" fillId="9" borderId="10" xfId="0" applyFill="1" applyBorder="1"/>
    <xf numFmtId="0" fontId="0" fillId="7" borderId="3" xfId="0" applyFill="1" applyBorder="1" applyAlignment="1">
      <alignment horizontal="right"/>
    </xf>
    <xf numFmtId="4" fontId="0" fillId="7" borderId="55" xfId="0" applyNumberFormat="1" applyFill="1" applyBorder="1"/>
    <xf numFmtId="0" fontId="0" fillId="7" borderId="6" xfId="0" applyFill="1" applyBorder="1" applyAlignment="1">
      <alignment horizontal="right"/>
    </xf>
    <xf numFmtId="4" fontId="0" fillId="7" borderId="57" xfId="0" applyNumberFormat="1" applyFill="1" applyBorder="1"/>
    <xf numFmtId="0" fontId="0" fillId="0" borderId="0" xfId="0" applyAlignment="1">
      <alignment horizontal="right"/>
    </xf>
    <xf numFmtId="4" fontId="2" fillId="7" borderId="7" xfId="0" applyNumberFormat="1" applyFont="1" applyFill="1" applyBorder="1"/>
    <xf numFmtId="0" fontId="2" fillId="10" borderId="7" xfId="0" applyFont="1" applyFill="1" applyBorder="1" applyAlignment="1">
      <alignment horizontal="center"/>
    </xf>
    <xf numFmtId="0" fontId="0" fillId="11" borderId="3" xfId="0" applyFill="1" applyBorder="1" applyAlignment="1">
      <alignment horizontal="center"/>
    </xf>
    <xf numFmtId="4" fontId="0" fillId="11" borderId="13" xfId="0" applyNumberFormat="1" applyFill="1" applyBorder="1"/>
    <xf numFmtId="10" fontId="0" fillId="11" borderId="13" xfId="0" applyNumberFormat="1" applyFill="1" applyBorder="1"/>
    <xf numFmtId="0" fontId="0" fillId="11" borderId="6" xfId="0" applyFill="1" applyBorder="1" applyAlignment="1">
      <alignment horizontal="center"/>
    </xf>
    <xf numFmtId="4" fontId="0" fillId="11" borderId="15" xfId="0" applyNumberFormat="1" applyFill="1" applyBorder="1"/>
    <xf numFmtId="10" fontId="0" fillId="11" borderId="15" xfId="0" applyNumberFormat="1" applyFill="1" applyBorder="1"/>
    <xf numFmtId="0" fontId="2" fillId="11" borderId="12" xfId="0" applyFont="1" applyFill="1" applyBorder="1" applyAlignment="1"/>
    <xf numFmtId="0" fontId="2" fillId="11" borderId="4" xfId="0" applyFont="1" applyFill="1" applyBorder="1" applyAlignment="1">
      <alignment horizontal="center"/>
    </xf>
    <xf numFmtId="0" fontId="2" fillId="11" borderId="4" xfId="0" applyFont="1" applyFill="1" applyBorder="1" applyAlignment="1"/>
    <xf numFmtId="0" fontId="2" fillId="11" borderId="10" xfId="0" applyFont="1" applyFill="1" applyBorder="1" applyAlignment="1">
      <alignment horizontal="right"/>
    </xf>
    <xf numFmtId="9" fontId="0" fillId="11" borderId="13" xfId="2" applyFont="1" applyFill="1" applyBorder="1"/>
    <xf numFmtId="2" fontId="0" fillId="11" borderId="13" xfId="0" applyNumberFormat="1" applyFill="1" applyBorder="1" applyAlignment="1">
      <alignment horizontal="right"/>
    </xf>
    <xf numFmtId="9" fontId="0" fillId="11" borderId="15" xfId="2" applyFont="1" applyFill="1" applyBorder="1"/>
    <xf numFmtId="2" fontId="0" fillId="11" borderId="15" xfId="0" applyNumberFormat="1" applyFill="1" applyBorder="1" applyAlignment="1">
      <alignment horizontal="right"/>
    </xf>
    <xf numFmtId="4" fontId="2" fillId="0" borderId="7" xfId="0" applyNumberFormat="1" applyFont="1" applyFill="1" applyBorder="1"/>
    <xf numFmtId="0" fontId="2" fillId="0" borderId="7" xfId="0" applyFont="1" applyFill="1" applyBorder="1" applyAlignment="1">
      <alignment horizontal="center"/>
    </xf>
    <xf numFmtId="0" fontId="2" fillId="0" borderId="7" xfId="0" applyFont="1" applyFill="1" applyBorder="1"/>
    <xf numFmtId="165" fontId="0" fillId="0" borderId="0" xfId="1" applyFont="1" applyFill="1"/>
    <xf numFmtId="10" fontId="0" fillId="0" borderId="0" xfId="2" applyNumberFormat="1" applyFont="1" applyFill="1"/>
    <xf numFmtId="0" fontId="2" fillId="7" borderId="7" xfId="0" applyFont="1" applyFill="1" applyBorder="1" applyAlignment="1" applyProtection="1">
      <alignment horizontal="center"/>
      <protection hidden="1"/>
    </xf>
    <xf numFmtId="0" fontId="0" fillId="2" borderId="0" xfId="0" applyFill="1" applyBorder="1" applyAlignment="1" applyProtection="1">
      <alignment horizontal="center"/>
      <protection hidden="1"/>
    </xf>
    <xf numFmtId="0" fontId="2" fillId="2" borderId="32" xfId="0" applyFont="1" applyFill="1" applyBorder="1" applyAlignment="1" applyProtection="1">
      <alignment horizontal="left"/>
      <protection locked="0"/>
    </xf>
    <xf numFmtId="0" fontId="2" fillId="2" borderId="1" xfId="0" applyFont="1" applyFill="1" applyBorder="1" applyProtection="1">
      <protection hidden="1"/>
    </xf>
    <xf numFmtId="0" fontId="3" fillId="2" borderId="9" xfId="0" applyFont="1" applyFill="1" applyBorder="1" applyProtection="1">
      <protection hidden="1"/>
    </xf>
    <xf numFmtId="0" fontId="3" fillId="2" borderId="2" xfId="0" applyFont="1" applyFill="1" applyBorder="1" applyProtection="1">
      <protection hidden="1"/>
    </xf>
    <xf numFmtId="9" fontId="2" fillId="5" borderId="0" xfId="2" applyFont="1" applyFill="1" applyProtection="1">
      <protection locked="0"/>
    </xf>
    <xf numFmtId="0" fontId="2" fillId="2" borderId="1" xfId="0" applyFont="1" applyFill="1" applyBorder="1" applyProtection="1">
      <protection locked="0"/>
    </xf>
    <xf numFmtId="0" fontId="3" fillId="2" borderId="9" xfId="0" applyFont="1" applyFill="1" applyBorder="1" applyProtection="1">
      <protection locked="0"/>
    </xf>
    <xf numFmtId="0" fontId="3" fillId="2" borderId="2" xfId="0" applyFont="1" applyFill="1" applyBorder="1" applyProtection="1">
      <protection locked="0"/>
    </xf>
    <xf numFmtId="0" fontId="2" fillId="2" borderId="1" xfId="0" applyFont="1" applyFill="1" applyBorder="1" applyAlignment="1" applyProtection="1">
      <alignment horizontal="left"/>
      <protection locked="0"/>
    </xf>
    <xf numFmtId="0" fontId="13" fillId="2" borderId="1" xfId="4" applyFill="1" applyBorder="1" applyAlignment="1" applyProtection="1">
      <alignment horizontal="left"/>
      <protection locked="0"/>
    </xf>
    <xf numFmtId="0" fontId="2" fillId="2" borderId="4" xfId="0" applyFont="1" applyFill="1" applyBorder="1" applyAlignment="1" applyProtection="1">
      <alignment horizontal="left"/>
      <protection locked="0"/>
    </xf>
    <xf numFmtId="1" fontId="0" fillId="0" borderId="0" xfId="0" applyNumberFormat="1" applyFill="1" applyProtection="1">
      <protection hidden="1"/>
    </xf>
    <xf numFmtId="165" fontId="0" fillId="0" borderId="0" xfId="0" applyNumberFormat="1" applyFill="1" applyProtection="1">
      <protection hidden="1"/>
    </xf>
    <xf numFmtId="165" fontId="0" fillId="5" borderId="7" xfId="1" applyFont="1" applyFill="1" applyBorder="1" applyAlignment="1" applyProtection="1">
      <alignment horizontal="center"/>
      <protection locked="0"/>
    </xf>
    <xf numFmtId="165" fontId="0" fillId="4" borderId="0" xfId="0" applyNumberFormat="1" applyFont="1" applyFill="1" applyProtection="1">
      <protection hidden="1"/>
    </xf>
    <xf numFmtId="0" fontId="2" fillId="4" borderId="7" xfId="0" applyFont="1" applyFill="1" applyBorder="1" applyAlignment="1" applyProtection="1">
      <alignment horizontal="right"/>
      <protection hidden="1"/>
    </xf>
    <xf numFmtId="0" fontId="0" fillId="4" borderId="11" xfId="0" applyFill="1" applyBorder="1" applyProtection="1">
      <protection hidden="1"/>
    </xf>
    <xf numFmtId="0" fontId="0" fillId="7" borderId="0" xfId="0" applyFill="1" applyProtection="1">
      <protection locked="0"/>
    </xf>
    <xf numFmtId="0" fontId="0" fillId="8" borderId="11" xfId="0" applyFill="1" applyBorder="1" applyProtection="1">
      <protection locked="0"/>
    </xf>
    <xf numFmtId="0" fontId="0" fillId="2" borderId="67" xfId="0" applyFill="1" applyBorder="1" applyProtection="1">
      <protection hidden="1"/>
    </xf>
    <xf numFmtId="0" fontId="2" fillId="2" borderId="66" xfId="0" applyFont="1" applyFill="1" applyBorder="1" applyAlignment="1" applyProtection="1">
      <alignment horizontal="center"/>
      <protection hidden="1"/>
    </xf>
    <xf numFmtId="0" fontId="0" fillId="2" borderId="68" xfId="0" applyFill="1" applyBorder="1" applyProtection="1">
      <protection hidden="1"/>
    </xf>
    <xf numFmtId="0" fontId="0" fillId="2" borderId="68" xfId="0" applyFill="1" applyBorder="1" applyAlignment="1" applyProtection="1">
      <alignment horizontal="center"/>
      <protection hidden="1"/>
    </xf>
    <xf numFmtId="0" fontId="2" fillId="2" borderId="72" xfId="0" applyFont="1" applyFill="1" applyBorder="1" applyProtection="1">
      <protection hidden="1"/>
    </xf>
    <xf numFmtId="165" fontId="0" fillId="2" borderId="72" xfId="0" applyNumberFormat="1" applyFont="1" applyFill="1" applyBorder="1" applyProtection="1">
      <protection hidden="1"/>
    </xf>
    <xf numFmtId="0" fontId="0" fillId="2" borderId="72" xfId="0" applyFill="1" applyBorder="1" applyAlignment="1" applyProtection="1">
      <alignment horizontal="center"/>
      <protection hidden="1"/>
    </xf>
    <xf numFmtId="0" fontId="0" fillId="2" borderId="73" xfId="0" applyFont="1" applyFill="1" applyBorder="1" applyProtection="1">
      <protection hidden="1"/>
    </xf>
    <xf numFmtId="165" fontId="0" fillId="2" borderId="73" xfId="0" applyNumberFormat="1" applyFill="1" applyBorder="1" applyProtection="1">
      <protection hidden="1"/>
    </xf>
    <xf numFmtId="0" fontId="0" fillId="2" borderId="73" xfId="0" applyFill="1" applyBorder="1" applyAlignment="1" applyProtection="1">
      <alignment horizontal="center"/>
      <protection hidden="1"/>
    </xf>
    <xf numFmtId="0" fontId="3" fillId="2" borderId="74" xfId="0" applyFont="1" applyFill="1" applyBorder="1" applyProtection="1">
      <protection hidden="1"/>
    </xf>
    <xf numFmtId="0" fontId="0" fillId="2" borderId="74" xfId="0" applyFill="1" applyBorder="1" applyProtection="1">
      <protection hidden="1"/>
    </xf>
    <xf numFmtId="0" fontId="2" fillId="2" borderId="66" xfId="0" applyFont="1" applyFill="1" applyBorder="1" applyProtection="1">
      <protection hidden="1"/>
    </xf>
    <xf numFmtId="165" fontId="2" fillId="2" borderId="66" xfId="1" applyFont="1" applyFill="1" applyBorder="1" applyProtection="1">
      <protection hidden="1"/>
    </xf>
    <xf numFmtId="0" fontId="0" fillId="2" borderId="66" xfId="0" applyFill="1" applyBorder="1" applyAlignment="1" applyProtection="1">
      <alignment horizontal="center"/>
      <protection hidden="1"/>
    </xf>
    <xf numFmtId="0" fontId="2" fillId="2" borderId="68" xfId="0" applyFont="1" applyFill="1" applyBorder="1" applyProtection="1">
      <protection hidden="1"/>
    </xf>
    <xf numFmtId="165" fontId="0" fillId="2" borderId="68" xfId="1" applyFont="1" applyFill="1" applyBorder="1" applyProtection="1">
      <protection hidden="1"/>
    </xf>
    <xf numFmtId="0" fontId="0" fillId="2" borderId="73" xfId="0" applyFill="1" applyBorder="1" applyProtection="1">
      <protection hidden="1"/>
    </xf>
    <xf numFmtId="0" fontId="0" fillId="2" borderId="75" xfId="0" applyFill="1" applyBorder="1" applyProtection="1">
      <protection hidden="1"/>
    </xf>
    <xf numFmtId="165" fontId="0" fillId="2" borderId="75" xfId="0" applyNumberFormat="1" applyFill="1" applyBorder="1" applyProtection="1">
      <protection hidden="1"/>
    </xf>
    <xf numFmtId="0" fontId="0" fillId="2" borderId="75" xfId="0" applyFill="1" applyBorder="1" applyAlignment="1" applyProtection="1">
      <alignment horizontal="center"/>
      <protection hidden="1"/>
    </xf>
    <xf numFmtId="165" fontId="2" fillId="2" borderId="66" xfId="0" applyNumberFormat="1" applyFont="1" applyFill="1" applyBorder="1" applyProtection="1">
      <protection hidden="1"/>
    </xf>
    <xf numFmtId="0" fontId="0" fillId="2" borderId="76" xfId="0" applyFill="1" applyBorder="1" applyProtection="1">
      <protection hidden="1"/>
    </xf>
    <xf numFmtId="165" fontId="0" fillId="2" borderId="76" xfId="0" applyNumberFormat="1" applyFill="1" applyBorder="1" applyProtection="1">
      <protection hidden="1"/>
    </xf>
    <xf numFmtId="0" fontId="0" fillId="2" borderId="76" xfId="0" applyFill="1" applyBorder="1" applyAlignment="1" applyProtection="1">
      <alignment horizontal="center"/>
      <protection hidden="1"/>
    </xf>
    <xf numFmtId="0" fontId="2" fillId="2" borderId="75" xfId="0" applyFont="1" applyFill="1" applyBorder="1" applyProtection="1">
      <protection hidden="1"/>
    </xf>
    <xf numFmtId="165" fontId="2" fillId="2" borderId="75" xfId="0" applyNumberFormat="1" applyFont="1" applyFill="1" applyBorder="1" applyProtection="1">
      <protection hidden="1"/>
    </xf>
    <xf numFmtId="0" fontId="2" fillId="7" borderId="69" xfId="0" applyFont="1" applyFill="1" applyBorder="1" applyAlignment="1" applyProtection="1">
      <alignment vertical="center"/>
      <protection hidden="1"/>
    </xf>
    <xf numFmtId="0" fontId="2" fillId="2" borderId="77" xfId="0" applyFont="1" applyFill="1" applyBorder="1" applyAlignment="1" applyProtection="1">
      <alignment horizontal="right" vertical="center"/>
      <protection hidden="1"/>
    </xf>
    <xf numFmtId="0" fontId="2" fillId="2" borderId="69" xfId="0" applyFont="1" applyFill="1" applyBorder="1" applyAlignment="1" applyProtection="1">
      <alignment vertical="center"/>
      <protection hidden="1"/>
    </xf>
    <xf numFmtId="0" fontId="25" fillId="2" borderId="87" xfId="0" applyFont="1" applyFill="1" applyBorder="1" applyProtection="1">
      <protection hidden="1"/>
    </xf>
    <xf numFmtId="0" fontId="25" fillId="2" borderId="90" xfId="0" applyFont="1" applyFill="1" applyBorder="1" applyProtection="1">
      <protection hidden="1"/>
    </xf>
    <xf numFmtId="0" fontId="25" fillId="2" borderId="93" xfId="0" applyFont="1" applyFill="1" applyBorder="1" applyProtection="1">
      <protection hidden="1"/>
    </xf>
    <xf numFmtId="0" fontId="25" fillId="2" borderId="90" xfId="0" applyFont="1" applyFill="1" applyBorder="1" applyAlignment="1" applyProtection="1">
      <alignment horizontal="right"/>
      <protection hidden="1"/>
    </xf>
    <xf numFmtId="0" fontId="0" fillId="2" borderId="0" xfId="0" applyFont="1" applyFill="1" applyBorder="1" applyAlignment="1" applyProtection="1">
      <alignment vertical="center"/>
      <protection hidden="1"/>
    </xf>
    <xf numFmtId="0" fontId="2" fillId="7" borderId="99" xfId="0" applyFont="1" applyFill="1" applyBorder="1" applyAlignment="1" applyProtection="1">
      <alignment vertical="center"/>
      <protection hidden="1"/>
    </xf>
    <xf numFmtId="0" fontId="25" fillId="2" borderId="87" xfId="0" applyFont="1" applyFill="1" applyBorder="1" applyAlignment="1" applyProtection="1">
      <alignment vertical="center"/>
      <protection hidden="1"/>
    </xf>
    <xf numFmtId="0" fontId="25" fillId="2" borderId="90" xfId="0" applyFont="1" applyFill="1" applyBorder="1" applyAlignment="1" applyProtection="1">
      <alignment vertical="center"/>
      <protection hidden="1"/>
    </xf>
    <xf numFmtId="0" fontId="25" fillId="2" borderId="93" xfId="0" applyFont="1" applyFill="1" applyBorder="1" applyAlignment="1" applyProtection="1">
      <alignment vertical="center"/>
      <protection hidden="1"/>
    </xf>
    <xf numFmtId="0" fontId="23" fillId="7" borderId="48" xfId="0" applyFont="1" applyFill="1" applyBorder="1" applyAlignment="1" applyProtection="1">
      <alignment vertical="center"/>
      <protection hidden="1"/>
    </xf>
    <xf numFmtId="0" fontId="23" fillId="7" borderId="49" xfId="0" applyFont="1" applyFill="1" applyBorder="1" applyAlignment="1" applyProtection="1">
      <alignment vertical="center"/>
      <protection hidden="1"/>
    </xf>
    <xf numFmtId="164" fontId="23" fillId="7" borderId="49" xfId="0" applyNumberFormat="1" applyFont="1" applyFill="1" applyBorder="1" applyAlignment="1" applyProtection="1">
      <alignment vertical="center"/>
      <protection hidden="1"/>
    </xf>
    <xf numFmtId="0" fontId="23" fillId="7" borderId="50" xfId="0" applyFont="1" applyFill="1" applyBorder="1" applyAlignment="1" applyProtection="1">
      <alignment vertical="center"/>
      <protection hidden="1"/>
    </xf>
    <xf numFmtId="0" fontId="0" fillId="2" borderId="48" xfId="0" applyFill="1" applyBorder="1" applyProtection="1">
      <protection hidden="1"/>
    </xf>
    <xf numFmtId="0" fontId="2" fillId="2" borderId="70" xfId="0" applyFont="1" applyFill="1" applyBorder="1" applyAlignment="1" applyProtection="1">
      <alignment horizontal="center"/>
      <protection hidden="1"/>
    </xf>
    <xf numFmtId="0" fontId="2" fillId="2" borderId="50" xfId="0" applyFont="1" applyFill="1" applyBorder="1" applyAlignment="1" applyProtection="1">
      <alignment horizontal="center"/>
      <protection hidden="1"/>
    </xf>
    <xf numFmtId="165" fontId="0" fillId="2" borderId="78" xfId="0" applyNumberFormat="1" applyFill="1" applyBorder="1" applyProtection="1">
      <protection hidden="1"/>
    </xf>
    <xf numFmtId="165" fontId="0" fillId="2" borderId="41" xfId="0" applyNumberFormat="1" applyFill="1" applyBorder="1" applyProtection="1">
      <protection hidden="1"/>
    </xf>
    <xf numFmtId="0" fontId="2" fillId="2" borderId="80" xfId="0" applyFont="1" applyFill="1" applyBorder="1" applyProtection="1">
      <protection hidden="1"/>
    </xf>
    <xf numFmtId="0" fontId="0" fillId="2" borderId="81" xfId="0" applyFill="1" applyBorder="1" applyProtection="1">
      <protection hidden="1"/>
    </xf>
    <xf numFmtId="165" fontId="2" fillId="2" borderId="82" xfId="0" applyNumberFormat="1" applyFont="1" applyFill="1" applyBorder="1" applyProtection="1">
      <protection hidden="1"/>
    </xf>
    <xf numFmtId="0" fontId="23" fillId="2" borderId="69" xfId="0" applyFont="1" applyFill="1" applyBorder="1" applyAlignment="1" applyProtection="1">
      <alignment horizontal="center"/>
      <protection hidden="1"/>
    </xf>
    <xf numFmtId="0" fontId="23" fillId="2" borderId="70" xfId="0" applyFont="1" applyFill="1" applyBorder="1" applyAlignment="1" applyProtection="1">
      <alignment horizontal="center"/>
      <protection hidden="1"/>
    </xf>
    <xf numFmtId="0" fontId="23" fillId="2" borderId="71" xfId="0" applyFont="1" applyFill="1" applyBorder="1" applyAlignment="1" applyProtection="1">
      <alignment horizontal="center"/>
      <protection hidden="1"/>
    </xf>
    <xf numFmtId="0" fontId="23" fillId="2" borderId="77" xfId="0" applyFont="1" applyFill="1" applyBorder="1" applyAlignment="1" applyProtection="1">
      <alignment horizontal="right"/>
      <protection hidden="1"/>
    </xf>
    <xf numFmtId="0" fontId="23" fillId="2" borderId="96" xfId="0" applyFont="1" applyFill="1" applyBorder="1" applyAlignment="1" applyProtection="1">
      <alignment horizontal="right"/>
      <protection hidden="1"/>
    </xf>
    <xf numFmtId="0" fontId="22" fillId="2" borderId="83" xfId="0" applyFont="1" applyFill="1" applyBorder="1" applyProtection="1">
      <protection hidden="1"/>
    </xf>
    <xf numFmtId="0" fontId="3" fillId="2" borderId="84" xfId="0" applyFont="1" applyFill="1" applyBorder="1" applyProtection="1">
      <protection hidden="1"/>
    </xf>
    <xf numFmtId="0" fontId="3" fillId="2" borderId="85" xfId="0" applyFont="1" applyFill="1" applyBorder="1" applyProtection="1">
      <protection hidden="1"/>
    </xf>
    <xf numFmtId="0" fontId="3" fillId="2" borderId="0" xfId="0" applyFont="1" applyFill="1" applyBorder="1" applyProtection="1">
      <protection hidden="1"/>
    </xf>
    <xf numFmtId="164" fontId="3" fillId="2" borderId="0" xfId="3" applyFont="1" applyFill="1" applyBorder="1" applyProtection="1">
      <protection hidden="1"/>
    </xf>
    <xf numFmtId="0" fontId="0" fillId="2" borderId="3" xfId="0" applyFill="1" applyBorder="1" applyProtection="1">
      <protection hidden="1"/>
    </xf>
    <xf numFmtId="0" fontId="0" fillId="2" borderId="8" xfId="0" applyFill="1" applyBorder="1" applyProtection="1">
      <protection hidden="1"/>
    </xf>
    <xf numFmtId="0" fontId="0" fillId="2" borderId="55" xfId="0" applyFill="1" applyBorder="1" applyProtection="1">
      <protection hidden="1"/>
    </xf>
    <xf numFmtId="0" fontId="9" fillId="2" borderId="5" xfId="0" applyFont="1" applyFill="1" applyBorder="1" applyAlignment="1" applyProtection="1">
      <alignment horizontal="right"/>
      <protection hidden="1"/>
    </xf>
    <xf numFmtId="0" fontId="0" fillId="2" borderId="56" xfId="0" applyFill="1" applyBorder="1" applyProtection="1">
      <protection hidden="1"/>
    </xf>
    <xf numFmtId="0" fontId="9" fillId="2" borderId="0" xfId="0" applyFont="1" applyFill="1" applyBorder="1" applyProtection="1">
      <protection hidden="1"/>
    </xf>
    <xf numFmtId="0" fontId="9" fillId="2" borderId="1" xfId="0" applyFont="1" applyFill="1" applyBorder="1" applyProtection="1">
      <protection hidden="1"/>
    </xf>
    <xf numFmtId="0" fontId="9" fillId="2" borderId="6" xfId="0" applyFont="1" applyFill="1" applyBorder="1" applyProtection="1">
      <protection hidden="1"/>
    </xf>
    <xf numFmtId="0" fontId="0" fillId="2" borderId="57" xfId="0" applyFill="1" applyBorder="1" applyProtection="1">
      <protection hidden="1"/>
    </xf>
    <xf numFmtId="0" fontId="8" fillId="2" borderId="0" xfId="0" applyFont="1" applyFill="1" applyProtection="1">
      <protection hidden="1"/>
    </xf>
    <xf numFmtId="0" fontId="10" fillId="2" borderId="0" xfId="0" applyFont="1" applyFill="1" applyProtection="1">
      <protection hidden="1"/>
    </xf>
    <xf numFmtId="0" fontId="11" fillId="2" borderId="16" xfId="0" applyFont="1" applyFill="1" applyBorder="1" applyAlignment="1" applyProtection="1">
      <alignment horizontal="center" vertical="center"/>
      <protection hidden="1"/>
    </xf>
    <xf numFmtId="1" fontId="11" fillId="2" borderId="0" xfId="0" applyNumberFormat="1" applyFont="1" applyFill="1" applyBorder="1" applyAlignment="1" applyProtection="1">
      <alignment horizontal="center" vertical="center"/>
      <protection hidden="1"/>
    </xf>
    <xf numFmtId="0" fontId="12" fillId="2" borderId="18" xfId="0" applyFont="1" applyFill="1" applyBorder="1" applyProtection="1">
      <protection hidden="1"/>
    </xf>
    <xf numFmtId="0" fontId="12" fillId="2" borderId="19" xfId="0" applyFont="1" applyFill="1" applyBorder="1" applyAlignment="1" applyProtection="1">
      <alignment horizontal="center"/>
      <protection hidden="1"/>
    </xf>
    <xf numFmtId="0" fontId="12" fillId="2" borderId="20" xfId="0" applyNumberFormat="1" applyFont="1" applyFill="1" applyBorder="1" applyAlignment="1" applyProtection="1">
      <alignment horizontal="center"/>
      <protection hidden="1"/>
    </xf>
    <xf numFmtId="0" fontId="12" fillId="2" borderId="21" xfId="0" applyNumberFormat="1" applyFont="1" applyFill="1" applyBorder="1" applyAlignment="1" applyProtection="1">
      <alignment horizontal="center"/>
      <protection hidden="1"/>
    </xf>
    <xf numFmtId="4" fontId="12" fillId="2" borderId="21" xfId="0" applyNumberFormat="1" applyFont="1" applyFill="1" applyBorder="1" applyAlignment="1" applyProtection="1">
      <alignment horizontal="center"/>
      <protection hidden="1"/>
    </xf>
    <xf numFmtId="0" fontId="12" fillId="2" borderId="22" xfId="0" applyFont="1" applyFill="1" applyBorder="1" applyAlignment="1" applyProtection="1">
      <alignment horizontal="center"/>
      <protection hidden="1"/>
    </xf>
    <xf numFmtId="0" fontId="11" fillId="2" borderId="23" xfId="0" applyFont="1" applyFill="1" applyBorder="1" applyProtection="1">
      <protection hidden="1"/>
    </xf>
    <xf numFmtId="0" fontId="11" fillId="2" borderId="24" xfId="0" applyFont="1" applyFill="1" applyBorder="1" applyProtection="1">
      <protection hidden="1"/>
    </xf>
    <xf numFmtId="4" fontId="11" fillId="2" borderId="15" xfId="0" applyNumberFormat="1" applyFont="1" applyFill="1" applyBorder="1" applyProtection="1">
      <protection hidden="1"/>
    </xf>
    <xf numFmtId="4" fontId="11" fillId="2" borderId="6" xfId="0" applyNumberFormat="1" applyFont="1" applyFill="1" applyBorder="1" applyProtection="1">
      <protection hidden="1"/>
    </xf>
    <xf numFmtId="0" fontId="12" fillId="2" borderId="0" xfId="0" applyFont="1" applyFill="1" applyBorder="1" applyProtection="1">
      <protection hidden="1"/>
    </xf>
    <xf numFmtId="0" fontId="12" fillId="2" borderId="16" xfId="0" applyFont="1" applyFill="1" applyBorder="1" applyProtection="1">
      <protection hidden="1"/>
    </xf>
    <xf numFmtId="0" fontId="12" fillId="2" borderId="25" xfId="0" applyFont="1" applyFill="1" applyBorder="1" applyProtection="1">
      <protection hidden="1"/>
    </xf>
    <xf numFmtId="4" fontId="12" fillId="2" borderId="7" xfId="0" applyNumberFormat="1" applyFont="1" applyFill="1" applyBorder="1" applyProtection="1">
      <protection hidden="1"/>
    </xf>
    <xf numFmtId="4" fontId="12" fillId="2" borderId="12" xfId="0" applyNumberFormat="1" applyFont="1" applyFill="1" applyBorder="1" applyProtection="1">
      <protection hidden="1"/>
    </xf>
    <xf numFmtId="4" fontId="11" fillId="2" borderId="12" xfId="0" applyNumberFormat="1" applyFont="1" applyFill="1" applyBorder="1" applyProtection="1">
      <protection hidden="1"/>
    </xf>
    <xf numFmtId="0" fontId="12" fillId="2" borderId="1" xfId="0" applyFont="1" applyFill="1" applyBorder="1" applyProtection="1">
      <protection hidden="1"/>
    </xf>
    <xf numFmtId="0" fontId="12" fillId="2" borderId="4" xfId="0" applyFont="1" applyFill="1" applyBorder="1" applyProtection="1">
      <protection hidden="1"/>
    </xf>
    <xf numFmtId="0" fontId="13" fillId="2" borderId="0" xfId="4" applyFill="1" applyProtection="1">
      <protection hidden="1"/>
    </xf>
    <xf numFmtId="0" fontId="12" fillId="2" borderId="25" xfId="0" applyFont="1" applyFill="1" applyBorder="1" applyAlignment="1" applyProtection="1">
      <alignment horizontal="right"/>
      <protection hidden="1"/>
    </xf>
    <xf numFmtId="4" fontId="0" fillId="2" borderId="0" xfId="0" applyNumberFormat="1" applyFill="1" applyProtection="1">
      <protection hidden="1"/>
    </xf>
    <xf numFmtId="0" fontId="11" fillId="2" borderId="16" xfId="0" applyFont="1" applyFill="1" applyBorder="1" applyProtection="1">
      <protection hidden="1"/>
    </xf>
    <xf numFmtId="0" fontId="11" fillId="2" borderId="25" xfId="0" applyFont="1" applyFill="1" applyBorder="1" applyProtection="1">
      <protection hidden="1"/>
    </xf>
    <xf numFmtId="4" fontId="11" fillId="2" borderId="7" xfId="0" applyNumberFormat="1" applyFont="1" applyFill="1" applyBorder="1" applyProtection="1">
      <protection hidden="1"/>
    </xf>
    <xf numFmtId="0" fontId="11" fillId="2" borderId="4" xfId="0" applyFont="1" applyFill="1" applyBorder="1" applyProtection="1">
      <protection hidden="1"/>
    </xf>
    <xf numFmtId="0" fontId="12" fillId="2" borderId="26" xfId="0" applyFont="1" applyFill="1" applyBorder="1" applyAlignment="1" applyProtection="1">
      <alignment vertical="top" wrapText="1"/>
      <protection hidden="1"/>
    </xf>
    <xf numFmtId="0" fontId="12" fillId="2" borderId="27" xfId="0" applyFont="1" applyFill="1" applyBorder="1" applyAlignment="1" applyProtection="1">
      <alignment vertical="top"/>
      <protection hidden="1"/>
    </xf>
    <xf numFmtId="4" fontId="12" fillId="2" borderId="3" xfId="0" applyNumberFormat="1" applyFont="1" applyFill="1" applyBorder="1" applyAlignment="1" applyProtection="1">
      <alignment vertical="top"/>
      <protection hidden="1"/>
    </xf>
    <xf numFmtId="0" fontId="12" fillId="2" borderId="8" xfId="0" applyFont="1" applyFill="1" applyBorder="1" applyAlignment="1" applyProtection="1">
      <alignment vertical="top" wrapText="1" shrinkToFit="1"/>
      <protection hidden="1"/>
    </xf>
    <xf numFmtId="0" fontId="14" fillId="2" borderId="28" xfId="0" applyFont="1" applyFill="1" applyBorder="1" applyProtection="1">
      <protection hidden="1"/>
    </xf>
    <xf numFmtId="10" fontId="14" fillId="2" borderId="29" xfId="0" applyNumberFormat="1" applyFont="1" applyFill="1" applyBorder="1" applyAlignment="1" applyProtection="1">
      <alignment horizontal="right"/>
      <protection hidden="1"/>
    </xf>
    <xf numFmtId="4" fontId="14" fillId="2" borderId="30" xfId="0" applyNumberFormat="1" applyFont="1" applyFill="1" applyBorder="1" applyProtection="1">
      <protection hidden="1"/>
    </xf>
    <xf numFmtId="4" fontId="14" fillId="2" borderId="31" xfId="0" applyNumberFormat="1" applyFont="1" applyFill="1" applyBorder="1" applyProtection="1">
      <protection hidden="1"/>
    </xf>
    <xf numFmtId="10" fontId="14" fillId="2" borderId="32" xfId="0" applyNumberFormat="1" applyFont="1" applyFill="1" applyBorder="1" applyProtection="1">
      <protection hidden="1"/>
    </xf>
    <xf numFmtId="0" fontId="3" fillId="2" borderId="0" xfId="0" applyFont="1" applyFill="1" applyProtection="1">
      <protection hidden="1"/>
    </xf>
    <xf numFmtId="0" fontId="14" fillId="2" borderId="33" xfId="0" applyFont="1" applyFill="1" applyBorder="1" applyProtection="1">
      <protection hidden="1"/>
    </xf>
    <xf numFmtId="0" fontId="14" fillId="2" borderId="25" xfId="0" applyFont="1" applyFill="1" applyBorder="1" applyProtection="1">
      <protection hidden="1"/>
    </xf>
    <xf numFmtId="4" fontId="14" fillId="2" borderId="7" xfId="0" applyNumberFormat="1" applyFont="1" applyFill="1" applyBorder="1" applyProtection="1">
      <protection hidden="1"/>
    </xf>
    <xf numFmtId="4" fontId="14" fillId="2" borderId="12" xfId="0" applyNumberFormat="1" applyFont="1" applyFill="1" applyBorder="1" applyProtection="1">
      <protection hidden="1"/>
    </xf>
    <xf numFmtId="0" fontId="14" fillId="2" borderId="4" xfId="0" applyFont="1" applyFill="1" applyBorder="1" applyProtection="1">
      <protection hidden="1"/>
    </xf>
    <xf numFmtId="0" fontId="14" fillId="2" borderId="34" xfId="0" applyFont="1" applyFill="1" applyBorder="1" applyAlignment="1" applyProtection="1">
      <alignment vertical="top" wrapText="1"/>
      <protection hidden="1"/>
    </xf>
    <xf numFmtId="0" fontId="14" fillId="2" borderId="19" xfId="0" applyFont="1" applyFill="1" applyBorder="1" applyAlignment="1" applyProtection="1">
      <alignment vertical="top" wrapText="1"/>
      <protection hidden="1"/>
    </xf>
    <xf numFmtId="4" fontId="14" fillId="2" borderId="20" xfId="0" applyNumberFormat="1" applyFont="1" applyFill="1" applyBorder="1" applyAlignment="1" applyProtection="1">
      <alignment vertical="top" wrapText="1"/>
      <protection hidden="1"/>
    </xf>
    <xf numFmtId="4" fontId="14" fillId="2" borderId="21" xfId="0" applyNumberFormat="1" applyFont="1" applyFill="1" applyBorder="1" applyAlignment="1" applyProtection="1">
      <alignment vertical="top" wrapText="1"/>
      <protection hidden="1"/>
    </xf>
    <xf numFmtId="0" fontId="14" fillId="2" borderId="35" xfId="0" applyFont="1" applyFill="1" applyBorder="1" applyAlignment="1" applyProtection="1">
      <alignment vertical="top" wrapText="1"/>
      <protection hidden="1"/>
    </xf>
    <xf numFmtId="0" fontId="12" fillId="2" borderId="23" xfId="0" applyFont="1" applyFill="1" applyBorder="1" applyProtection="1">
      <protection hidden="1"/>
    </xf>
    <xf numFmtId="4" fontId="12" fillId="2" borderId="15" xfId="0" applyNumberFormat="1" applyFont="1" applyFill="1" applyBorder="1" applyProtection="1">
      <protection hidden="1"/>
    </xf>
    <xf numFmtId="4" fontId="12" fillId="2" borderId="6" xfId="0" applyNumberFormat="1" applyFont="1" applyFill="1" applyBorder="1" applyProtection="1">
      <protection hidden="1"/>
    </xf>
    <xf numFmtId="0" fontId="14" fillId="2" borderId="16" xfId="0" applyFont="1" applyFill="1" applyBorder="1" applyAlignment="1" applyProtection="1">
      <alignment horizontal="center"/>
      <protection hidden="1"/>
    </xf>
    <xf numFmtId="4" fontId="15" fillId="2" borderId="7" xfId="0" applyNumberFormat="1" applyFont="1" applyFill="1" applyBorder="1" applyAlignment="1" applyProtection="1">
      <alignment vertical="top"/>
      <protection hidden="1"/>
    </xf>
    <xf numFmtId="0" fontId="14" fillId="2" borderId="0" xfId="0" applyFont="1" applyFill="1" applyBorder="1" applyProtection="1">
      <protection hidden="1"/>
    </xf>
    <xf numFmtId="0" fontId="2" fillId="2" borderId="0" xfId="0" applyFont="1" applyFill="1" applyBorder="1" applyProtection="1">
      <protection locked="0" hidden="1"/>
    </xf>
    <xf numFmtId="0" fontId="3" fillId="2" borderId="0" xfId="0" applyFont="1" applyFill="1" applyBorder="1" applyProtection="1">
      <protection locked="0" hidden="1"/>
    </xf>
    <xf numFmtId="0" fontId="0" fillId="2" borderId="5" xfId="0" applyFont="1" applyFill="1" applyBorder="1"/>
    <xf numFmtId="0" fontId="0" fillId="0" borderId="8" xfId="0" applyFill="1" applyBorder="1"/>
    <xf numFmtId="165" fontId="0" fillId="0" borderId="8" xfId="1" applyFont="1" applyFill="1" applyBorder="1"/>
    <xf numFmtId="10" fontId="0" fillId="0" borderId="8" xfId="2" applyNumberFormat="1" applyFont="1" applyFill="1" applyBorder="1"/>
    <xf numFmtId="0" fontId="0" fillId="0" borderId="55" xfId="0" applyFill="1" applyBorder="1"/>
    <xf numFmtId="165" fontId="0" fillId="0" borderId="0" xfId="1" applyFont="1" applyFill="1" applyBorder="1"/>
    <xf numFmtId="10" fontId="0" fillId="0" borderId="0" xfId="2" applyNumberFormat="1" applyFont="1" applyFill="1" applyBorder="1"/>
    <xf numFmtId="0" fontId="0" fillId="0" borderId="56" xfId="0" applyFill="1" applyBorder="1"/>
    <xf numFmtId="0" fontId="0" fillId="0" borderId="1" xfId="0" applyFill="1" applyBorder="1"/>
    <xf numFmtId="165" fontId="0" fillId="0" borderId="1" xfId="1" applyFont="1" applyFill="1" applyBorder="1"/>
    <xf numFmtId="10" fontId="0" fillId="0" borderId="1" xfId="2" applyNumberFormat="1" applyFont="1" applyFill="1" applyBorder="1"/>
    <xf numFmtId="0" fontId="0" fillId="0" borderId="57" xfId="0" applyFill="1" applyBorder="1"/>
    <xf numFmtId="0" fontId="2" fillId="4" borderId="6" xfId="0" applyFont="1" applyFill="1" applyBorder="1"/>
    <xf numFmtId="0" fontId="0" fillId="4" borderId="1" xfId="0" applyFill="1" applyBorder="1"/>
    <xf numFmtId="164" fontId="0" fillId="5" borderId="0" xfId="3" applyFont="1" applyFill="1" applyBorder="1" applyAlignment="1">
      <alignment horizontal="left"/>
    </xf>
    <xf numFmtId="164" fontId="0" fillId="5" borderId="1" xfId="3" applyFont="1" applyFill="1" applyBorder="1" applyAlignment="1">
      <alignment horizontal="left"/>
    </xf>
    <xf numFmtId="164" fontId="0" fillId="2" borderId="0" xfId="3" applyFont="1" applyFill="1" applyBorder="1"/>
    <xf numFmtId="164" fontId="0" fillId="2" borderId="1" xfId="3" applyFont="1" applyFill="1" applyBorder="1"/>
    <xf numFmtId="0" fontId="0" fillId="4" borderId="57" xfId="0" applyFill="1" applyBorder="1"/>
    <xf numFmtId="0" fontId="2" fillId="4" borderId="12" xfId="0" applyFont="1" applyFill="1" applyBorder="1" applyAlignment="1">
      <alignment horizontal="center"/>
    </xf>
    <xf numFmtId="0" fontId="2" fillId="4" borderId="4" xfId="0" applyFont="1" applyFill="1" applyBorder="1" applyAlignment="1">
      <alignment horizontal="center"/>
    </xf>
    <xf numFmtId="164" fontId="27" fillId="4" borderId="4" xfId="4" applyNumberFormat="1" applyFont="1" applyFill="1" applyBorder="1" applyAlignment="1">
      <alignment horizontal="center"/>
    </xf>
    <xf numFmtId="0" fontId="2" fillId="4" borderId="10" xfId="0" applyFont="1" applyFill="1" applyBorder="1" applyAlignment="1">
      <alignment horizontal="center"/>
    </xf>
    <xf numFmtId="0" fontId="22" fillId="7" borderId="10" xfId="0" applyFont="1" applyFill="1" applyBorder="1" applyAlignment="1">
      <alignment horizontal="center"/>
    </xf>
    <xf numFmtId="168" fontId="0" fillId="2" borderId="8" xfId="3" applyNumberFormat="1" applyFont="1" applyFill="1" applyBorder="1"/>
    <xf numFmtId="168" fontId="0" fillId="2" borderId="0" xfId="3" applyNumberFormat="1" applyFont="1" applyFill="1" applyBorder="1"/>
    <xf numFmtId="168" fontId="2" fillId="2" borderId="1" xfId="3" applyNumberFormat="1" applyFont="1" applyFill="1" applyBorder="1"/>
    <xf numFmtId="168" fontId="0" fillId="2" borderId="59" xfId="3" applyNumberFormat="1" applyFont="1" applyFill="1" applyBorder="1"/>
    <xf numFmtId="168" fontId="0" fillId="2" borderId="63" xfId="3" applyNumberFormat="1" applyFont="1" applyFill="1" applyBorder="1"/>
    <xf numFmtId="168" fontId="0" fillId="2" borderId="37" xfId="3" applyNumberFormat="1" applyFont="1" applyFill="1" applyBorder="1"/>
    <xf numFmtId="168" fontId="0" fillId="2" borderId="62" xfId="3" applyNumberFormat="1" applyFont="1" applyFill="1" applyBorder="1"/>
    <xf numFmtId="168" fontId="2" fillId="4" borderId="1" xfId="0" applyNumberFormat="1" applyFont="1" applyFill="1" applyBorder="1"/>
    <xf numFmtId="0" fontId="28" fillId="2" borderId="102" xfId="0" applyFont="1" applyFill="1" applyBorder="1" applyAlignment="1" applyProtection="1">
      <alignment horizontal="center" vertical="center"/>
      <protection hidden="1"/>
    </xf>
    <xf numFmtId="168" fontId="28" fillId="2" borderId="103" xfId="3" applyNumberFormat="1" applyFont="1" applyFill="1" applyBorder="1" applyAlignment="1" applyProtection="1">
      <alignment horizontal="center" vertical="center"/>
      <protection hidden="1"/>
    </xf>
    <xf numFmtId="168" fontId="25" fillId="2" borderId="104" xfId="3" applyNumberFormat="1" applyFont="1" applyFill="1" applyBorder="1" applyAlignment="1" applyProtection="1">
      <alignment horizontal="center" vertical="center"/>
      <protection hidden="1"/>
    </xf>
    <xf numFmtId="0" fontId="0" fillId="5" borderId="55" xfId="0" applyFill="1" applyBorder="1" applyProtection="1">
      <protection hidden="1"/>
    </xf>
    <xf numFmtId="0" fontId="0" fillId="5" borderId="56" xfId="0" applyFill="1" applyBorder="1" applyProtection="1">
      <protection hidden="1"/>
    </xf>
    <xf numFmtId="0" fontId="0" fillId="5" borderId="57" xfId="0" applyFill="1" applyBorder="1" applyProtection="1">
      <protection hidden="1"/>
    </xf>
    <xf numFmtId="168" fontId="2" fillId="7" borderId="70" xfId="3" applyNumberFormat="1" applyFont="1" applyFill="1" applyBorder="1" applyAlignment="1" applyProtection="1">
      <alignment horizontal="center" vertical="center"/>
      <protection hidden="1"/>
    </xf>
    <xf numFmtId="168" fontId="0" fillId="7" borderId="71" xfId="3" applyNumberFormat="1" applyFont="1" applyFill="1" applyBorder="1" applyAlignment="1" applyProtection="1">
      <alignment horizontal="center" vertical="center"/>
      <protection hidden="1"/>
    </xf>
    <xf numFmtId="168" fontId="2" fillId="2" borderId="78" xfId="3" applyNumberFormat="1" applyFont="1" applyFill="1" applyBorder="1" applyAlignment="1" applyProtection="1">
      <alignment horizontal="center" vertical="center"/>
      <protection hidden="1"/>
    </xf>
    <xf numFmtId="168" fontId="0" fillId="2" borderId="78" xfId="3" applyNumberFormat="1" applyFont="1" applyFill="1" applyBorder="1" applyAlignment="1" applyProtection="1">
      <alignment horizontal="center" vertical="center"/>
      <protection hidden="1"/>
    </xf>
    <xf numFmtId="168" fontId="0" fillId="2" borderId="79" xfId="3" applyNumberFormat="1" applyFont="1" applyFill="1" applyBorder="1" applyAlignment="1" applyProtection="1">
      <alignment horizontal="center" vertical="center"/>
      <protection hidden="1"/>
    </xf>
    <xf numFmtId="168" fontId="2" fillId="7" borderId="71" xfId="3" applyNumberFormat="1" applyFont="1" applyFill="1" applyBorder="1" applyAlignment="1" applyProtection="1">
      <alignment horizontal="center" vertical="center"/>
      <protection hidden="1"/>
    </xf>
    <xf numFmtId="168" fontId="2" fillId="2" borderId="70" xfId="3" applyNumberFormat="1" applyFont="1" applyFill="1" applyBorder="1" applyAlignment="1" applyProtection="1">
      <alignment horizontal="center" vertical="center"/>
      <protection hidden="1"/>
    </xf>
    <xf numFmtId="168" fontId="2" fillId="2" borderId="71" xfId="3" applyNumberFormat="1" applyFont="1" applyFill="1" applyBorder="1" applyAlignment="1" applyProtection="1">
      <alignment horizontal="center" vertical="center"/>
      <protection hidden="1"/>
    </xf>
    <xf numFmtId="168" fontId="25" fillId="2" borderId="88" xfId="3" applyNumberFormat="1" applyFont="1" applyFill="1" applyBorder="1" applyAlignment="1" applyProtection="1">
      <alignment horizontal="center"/>
      <protection hidden="1"/>
    </xf>
    <xf numFmtId="168" fontId="26" fillId="2" borderId="88" xfId="3" applyNumberFormat="1" applyFont="1" applyFill="1" applyBorder="1" applyAlignment="1" applyProtection="1">
      <alignment horizontal="center"/>
      <protection hidden="1"/>
    </xf>
    <xf numFmtId="168" fontId="26" fillId="2" borderId="89" xfId="3" applyNumberFormat="1" applyFont="1" applyFill="1" applyBorder="1" applyAlignment="1" applyProtection="1">
      <alignment horizontal="center"/>
      <protection hidden="1"/>
    </xf>
    <xf numFmtId="168" fontId="25" fillId="2" borderId="91" xfId="3" applyNumberFormat="1" applyFont="1" applyFill="1" applyBorder="1" applyAlignment="1" applyProtection="1">
      <alignment horizontal="center"/>
      <protection hidden="1"/>
    </xf>
    <xf numFmtId="168" fontId="26" fillId="2" borderId="91" xfId="3" applyNumberFormat="1" applyFont="1" applyFill="1" applyBorder="1" applyAlignment="1" applyProtection="1">
      <alignment horizontal="center"/>
      <protection hidden="1"/>
    </xf>
    <xf numFmtId="168" fontId="26" fillId="2" borderId="92" xfId="3" applyNumberFormat="1" applyFont="1" applyFill="1" applyBorder="1" applyAlignment="1" applyProtection="1">
      <alignment horizontal="center"/>
      <protection hidden="1"/>
    </xf>
    <xf numFmtId="168" fontId="25" fillId="2" borderId="94" xfId="3" applyNumberFormat="1" applyFont="1" applyFill="1" applyBorder="1" applyAlignment="1" applyProtection="1">
      <alignment horizontal="center"/>
      <protection hidden="1"/>
    </xf>
    <xf numFmtId="168" fontId="26" fillId="2" borderId="94" xfId="3" applyNumberFormat="1" applyFont="1" applyFill="1" applyBorder="1" applyAlignment="1" applyProtection="1">
      <alignment horizontal="center"/>
      <protection hidden="1"/>
    </xf>
    <xf numFmtId="168" fontId="26" fillId="2" borderId="95" xfId="3" applyNumberFormat="1" applyFont="1" applyFill="1" applyBorder="1" applyAlignment="1" applyProtection="1">
      <alignment horizontal="center"/>
      <protection hidden="1"/>
    </xf>
    <xf numFmtId="168" fontId="2" fillId="7" borderId="100" xfId="3" applyNumberFormat="1" applyFont="1" applyFill="1" applyBorder="1" applyAlignment="1" applyProtection="1">
      <alignment horizontal="center" vertical="center"/>
      <protection hidden="1"/>
    </xf>
    <xf numFmtId="168" fontId="2" fillId="7" borderId="101" xfId="3" applyNumberFormat="1" applyFont="1" applyFill="1" applyBorder="1" applyAlignment="1" applyProtection="1">
      <alignment horizontal="center" vertical="center"/>
      <protection hidden="1"/>
    </xf>
    <xf numFmtId="168" fontId="2" fillId="2" borderId="66" xfId="0" applyNumberFormat="1" applyFont="1" applyFill="1" applyBorder="1" applyAlignment="1" applyProtection="1">
      <alignment horizontal="center"/>
      <protection hidden="1"/>
    </xf>
    <xf numFmtId="168" fontId="25" fillId="2" borderId="88" xfId="3" applyNumberFormat="1" applyFont="1" applyFill="1" applyBorder="1" applyAlignment="1" applyProtection="1">
      <alignment horizontal="center" vertical="center"/>
      <protection hidden="1"/>
    </xf>
    <xf numFmtId="168" fontId="25" fillId="2" borderId="89" xfId="3" applyNumberFormat="1" applyFont="1" applyFill="1" applyBorder="1" applyAlignment="1" applyProtection="1">
      <alignment horizontal="center" vertical="center"/>
      <protection hidden="1"/>
    </xf>
    <xf numFmtId="168" fontId="25" fillId="2" borderId="91" xfId="3" applyNumberFormat="1" applyFont="1" applyFill="1" applyBorder="1" applyAlignment="1" applyProtection="1">
      <alignment horizontal="center" vertical="center"/>
      <protection hidden="1"/>
    </xf>
    <xf numFmtId="168" fontId="25" fillId="2" borderId="92" xfId="3" applyNumberFormat="1" applyFont="1" applyFill="1" applyBorder="1" applyAlignment="1" applyProtection="1">
      <alignment horizontal="center" vertical="center"/>
      <protection hidden="1"/>
    </xf>
    <xf numFmtId="168" fontId="25" fillId="2" borderId="94" xfId="3" applyNumberFormat="1" applyFont="1" applyFill="1" applyBorder="1" applyAlignment="1" applyProtection="1">
      <alignment horizontal="center" vertical="center"/>
      <protection hidden="1"/>
    </xf>
    <xf numFmtId="168" fontId="25" fillId="2" borderId="95" xfId="3" applyNumberFormat="1" applyFont="1" applyFill="1" applyBorder="1" applyAlignment="1" applyProtection="1">
      <alignment horizontal="center" vertical="center"/>
      <protection hidden="1"/>
    </xf>
    <xf numFmtId="168" fontId="23" fillId="2" borderId="78" xfId="3" applyNumberFormat="1" applyFont="1" applyFill="1" applyBorder="1" applyProtection="1">
      <protection hidden="1"/>
    </xf>
    <xf numFmtId="168" fontId="23" fillId="2" borderId="79" xfId="3" applyNumberFormat="1" applyFont="1" applyFill="1" applyBorder="1" applyProtection="1">
      <protection hidden="1"/>
    </xf>
    <xf numFmtId="168" fontId="23" fillId="2" borderId="97" xfId="3" applyNumberFormat="1" applyFont="1" applyFill="1" applyBorder="1" applyProtection="1">
      <protection hidden="1"/>
    </xf>
    <xf numFmtId="168" fontId="23" fillId="2" borderId="98" xfId="3" applyNumberFormat="1" applyFont="1" applyFill="1" applyBorder="1" applyProtection="1">
      <protection hidden="1"/>
    </xf>
    <xf numFmtId="168" fontId="3" fillId="2" borderId="86" xfId="3" applyNumberFormat="1" applyFont="1" applyFill="1" applyBorder="1" applyProtection="1">
      <protection hidden="1"/>
    </xf>
    <xf numFmtId="165" fontId="0" fillId="2" borderId="0" xfId="1" applyFont="1" applyFill="1" applyAlignment="1" applyProtection="1">
      <alignment horizontal="center"/>
      <protection hidden="1"/>
    </xf>
    <xf numFmtId="165" fontId="2" fillId="5" borderId="7" xfId="1" applyFont="1" applyFill="1" applyBorder="1" applyAlignment="1" applyProtection="1">
      <alignment horizontal="center"/>
      <protection locked="0"/>
    </xf>
    <xf numFmtId="168" fontId="0" fillId="2" borderId="0" xfId="0" applyNumberFormat="1" applyFill="1" applyProtection="1">
      <protection hidden="1"/>
    </xf>
    <xf numFmtId="168" fontId="2" fillId="3" borderId="7" xfId="3" applyNumberFormat="1" applyFont="1" applyFill="1" applyBorder="1" applyProtection="1">
      <protection hidden="1"/>
    </xf>
    <xf numFmtId="168" fontId="0" fillId="0" borderId="0" xfId="0" applyNumberFormat="1" applyFill="1" applyAlignment="1" applyProtection="1">
      <alignment horizontal="center"/>
      <protection hidden="1"/>
    </xf>
    <xf numFmtId="168" fontId="0" fillId="0" borderId="0" xfId="3" applyNumberFormat="1" applyFont="1" applyFill="1" applyProtection="1">
      <protection locked="0"/>
    </xf>
    <xf numFmtId="168" fontId="0" fillId="0" borderId="0" xfId="0" applyNumberFormat="1" applyFill="1" applyProtection="1">
      <protection hidden="1"/>
    </xf>
    <xf numFmtId="168" fontId="0" fillId="3" borderId="7" xfId="3" applyNumberFormat="1" applyFont="1" applyFill="1" applyBorder="1" applyProtection="1">
      <protection hidden="1"/>
    </xf>
    <xf numFmtId="168" fontId="0" fillId="0" borderId="0" xfId="0" applyNumberFormat="1" applyFont="1" applyFill="1" applyProtection="1">
      <protection hidden="1"/>
    </xf>
    <xf numFmtId="164" fontId="0" fillId="3" borderId="7" xfId="3" applyFont="1" applyFill="1" applyBorder="1" applyProtection="1">
      <protection hidden="1"/>
    </xf>
    <xf numFmtId="14" fontId="0" fillId="5" borderId="7" xfId="1" applyNumberFormat="1" applyFont="1" applyFill="1" applyBorder="1" applyAlignment="1" applyProtection="1">
      <alignment horizontal="center"/>
      <protection locked="0"/>
    </xf>
    <xf numFmtId="165" fontId="25" fillId="2" borderId="102" xfId="1" applyFont="1" applyFill="1" applyBorder="1" applyAlignment="1" applyProtection="1">
      <alignment horizontal="center" vertical="center"/>
      <protection hidden="1"/>
    </xf>
    <xf numFmtId="165" fontId="25" fillId="2" borderId="103" xfId="1" applyFont="1" applyFill="1" applyBorder="1" applyAlignment="1" applyProtection="1">
      <alignment horizontal="center" vertical="center"/>
      <protection hidden="1"/>
    </xf>
    <xf numFmtId="0" fontId="0" fillId="0" borderId="60" xfId="0" applyFill="1" applyBorder="1"/>
    <xf numFmtId="0" fontId="0" fillId="0" borderId="61" xfId="0" applyFill="1" applyBorder="1"/>
    <xf numFmtId="9" fontId="0" fillId="2" borderId="0" xfId="2" applyFont="1" applyFill="1" applyProtection="1">
      <protection hidden="1"/>
    </xf>
    <xf numFmtId="9" fontId="2" fillId="2" borderId="66" xfId="2" applyFont="1" applyFill="1" applyBorder="1" applyAlignment="1" applyProtection="1">
      <alignment horizontal="center"/>
      <protection hidden="1"/>
    </xf>
    <xf numFmtId="9" fontId="0" fillId="2" borderId="68" xfId="2" applyFont="1" applyFill="1" applyBorder="1" applyAlignment="1" applyProtection="1">
      <alignment horizontal="center"/>
      <protection hidden="1"/>
    </xf>
    <xf numFmtId="9" fontId="0" fillId="2" borderId="72" xfId="2" applyFont="1" applyFill="1" applyBorder="1" applyAlignment="1" applyProtection="1">
      <alignment horizontal="center"/>
      <protection hidden="1"/>
    </xf>
    <xf numFmtId="9" fontId="0" fillId="2" borderId="73" xfId="2" applyFont="1" applyFill="1" applyBorder="1" applyAlignment="1" applyProtection="1">
      <alignment horizontal="center"/>
      <protection hidden="1"/>
    </xf>
    <xf numFmtId="9" fontId="3" fillId="2" borderId="74" xfId="2" applyFont="1" applyFill="1" applyBorder="1" applyAlignment="1" applyProtection="1">
      <alignment horizontal="center"/>
      <protection hidden="1"/>
    </xf>
    <xf numFmtId="9" fontId="0" fillId="2" borderId="66" xfId="2" applyFont="1" applyFill="1" applyBorder="1" applyAlignment="1" applyProtection="1">
      <alignment horizontal="center"/>
      <protection hidden="1"/>
    </xf>
    <xf numFmtId="9" fontId="0" fillId="2" borderId="75" xfId="2" applyFont="1" applyFill="1" applyBorder="1" applyAlignment="1" applyProtection="1">
      <alignment horizontal="center"/>
      <protection hidden="1"/>
    </xf>
    <xf numFmtId="9" fontId="0" fillId="2" borderId="76" xfId="2" applyFont="1" applyFill="1" applyBorder="1" applyAlignment="1" applyProtection="1">
      <alignment horizontal="center"/>
      <protection hidden="1"/>
    </xf>
    <xf numFmtId="9" fontId="2" fillId="7" borderId="70" xfId="2" applyFont="1" applyFill="1" applyBorder="1" applyAlignment="1" applyProtection="1">
      <alignment horizontal="center" vertical="center"/>
      <protection hidden="1"/>
    </xf>
    <xf numFmtId="9" fontId="2" fillId="2" borderId="70" xfId="2" applyFont="1" applyFill="1" applyBorder="1" applyAlignment="1" applyProtection="1">
      <alignment horizontal="center" vertical="center"/>
      <protection hidden="1"/>
    </xf>
    <xf numFmtId="9" fontId="26" fillId="2" borderId="88" xfId="2" applyFont="1" applyFill="1" applyBorder="1" applyAlignment="1" applyProtection="1">
      <alignment horizontal="center"/>
      <protection hidden="1"/>
    </xf>
    <xf numFmtId="9" fontId="26" fillId="2" borderId="91" xfId="2" applyFont="1" applyFill="1" applyBorder="1" applyAlignment="1" applyProtection="1">
      <alignment horizontal="center"/>
      <protection hidden="1"/>
    </xf>
    <xf numFmtId="9" fontId="26" fillId="2" borderId="94" xfId="2" applyFont="1" applyFill="1" applyBorder="1" applyAlignment="1" applyProtection="1">
      <alignment horizontal="center"/>
      <protection hidden="1"/>
    </xf>
    <xf numFmtId="9" fontId="2" fillId="7" borderId="100" xfId="2" applyFont="1" applyFill="1" applyBorder="1" applyAlignment="1" applyProtection="1">
      <alignment horizontal="center" vertical="center"/>
      <protection hidden="1"/>
    </xf>
    <xf numFmtId="9" fontId="25" fillId="2" borderId="88" xfId="2" applyFont="1" applyFill="1" applyBorder="1" applyAlignment="1" applyProtection="1">
      <alignment horizontal="center" vertical="center"/>
      <protection hidden="1"/>
    </xf>
    <xf numFmtId="9" fontId="28" fillId="2" borderId="103" xfId="2" applyFont="1" applyFill="1" applyBorder="1" applyAlignment="1" applyProtection="1">
      <alignment horizontal="center" vertical="center"/>
      <protection hidden="1"/>
    </xf>
    <xf numFmtId="9" fontId="25" fillId="2" borderId="103" xfId="2" applyFont="1" applyFill="1" applyBorder="1" applyAlignment="1" applyProtection="1">
      <alignment horizontal="center" vertical="center"/>
      <protection hidden="1"/>
    </xf>
    <xf numFmtId="9" fontId="25" fillId="2" borderId="91" xfId="2" applyFont="1" applyFill="1" applyBorder="1" applyAlignment="1" applyProtection="1">
      <alignment horizontal="center" vertical="center"/>
      <protection hidden="1"/>
    </xf>
    <xf numFmtId="9" fontId="25" fillId="2" borderId="94" xfId="2" applyFont="1" applyFill="1" applyBorder="1" applyAlignment="1" applyProtection="1">
      <alignment horizontal="center" vertical="center"/>
      <protection hidden="1"/>
    </xf>
    <xf numFmtId="9" fontId="0" fillId="2" borderId="49" xfId="2" applyFont="1" applyFill="1" applyBorder="1" applyAlignment="1" applyProtection="1">
      <alignment horizontal="center"/>
      <protection hidden="1"/>
    </xf>
    <xf numFmtId="9" fontId="0" fillId="2" borderId="0" xfId="2" applyFont="1" applyFill="1" applyBorder="1" applyProtection="1">
      <protection hidden="1"/>
    </xf>
    <xf numFmtId="9" fontId="0" fillId="2" borderId="35" xfId="2" applyFont="1" applyFill="1" applyBorder="1" applyProtection="1">
      <protection hidden="1"/>
    </xf>
    <xf numFmtId="9" fontId="23" fillId="2" borderId="70" xfId="2" applyFont="1" applyFill="1" applyBorder="1" applyAlignment="1" applyProtection="1">
      <alignment horizontal="center"/>
      <protection hidden="1"/>
    </xf>
    <xf numFmtId="9" fontId="23" fillId="2" borderId="78" xfId="2" applyFont="1" applyFill="1" applyBorder="1" applyProtection="1">
      <protection hidden="1"/>
    </xf>
    <xf numFmtId="9" fontId="23" fillId="2" borderId="97" xfId="2" applyFont="1" applyFill="1" applyBorder="1" applyProtection="1">
      <protection hidden="1"/>
    </xf>
    <xf numFmtId="9" fontId="0" fillId="2" borderId="8" xfId="2" applyFont="1" applyFill="1" applyBorder="1" applyProtection="1">
      <protection hidden="1"/>
    </xf>
    <xf numFmtId="9" fontId="9" fillId="2" borderId="0" xfId="2" applyFont="1" applyFill="1" applyBorder="1" applyProtection="1">
      <protection hidden="1"/>
    </xf>
    <xf numFmtId="9" fontId="9" fillId="2" borderId="1" xfId="2" applyFont="1" applyFill="1" applyBorder="1" applyProtection="1">
      <protection hidden="1"/>
    </xf>
    <xf numFmtId="168" fontId="23" fillId="7" borderId="50" xfId="0" applyNumberFormat="1" applyFont="1" applyFill="1" applyBorder="1" applyAlignment="1" applyProtection="1">
      <alignment vertical="center"/>
      <protection hidden="1"/>
    </xf>
    <xf numFmtId="0" fontId="0" fillId="0" borderId="0" xfId="0" applyFont="1"/>
    <xf numFmtId="168" fontId="0" fillId="2" borderId="58" xfId="0" applyNumberFormat="1" applyFill="1" applyBorder="1"/>
    <xf numFmtId="168" fontId="0" fillId="2" borderId="60" xfId="0" applyNumberFormat="1" applyFill="1" applyBorder="1"/>
    <xf numFmtId="168" fontId="0" fillId="0" borderId="60" xfId="0" applyNumberFormat="1" applyFill="1" applyBorder="1"/>
    <xf numFmtId="168" fontId="0" fillId="0" borderId="61" xfId="0" applyNumberFormat="1" applyFill="1" applyBorder="1"/>
    <xf numFmtId="9" fontId="2" fillId="7" borderId="70" xfId="2" quotePrefix="1" applyFont="1" applyFill="1" applyBorder="1" applyAlignment="1" applyProtection="1">
      <alignment horizontal="center" vertical="center"/>
      <protection hidden="1"/>
    </xf>
    <xf numFmtId="168" fontId="0" fillId="0" borderId="36" xfId="0" applyNumberFormat="1" applyFill="1" applyBorder="1" applyProtection="1">
      <protection hidden="1"/>
    </xf>
    <xf numFmtId="168" fontId="0" fillId="7" borderId="36" xfId="0" applyNumberFormat="1" applyFill="1" applyBorder="1" applyProtection="1">
      <protection hidden="1"/>
    </xf>
    <xf numFmtId="168" fontId="0" fillId="7" borderId="37" xfId="0" applyNumberFormat="1" applyFill="1" applyBorder="1" applyProtection="1">
      <protection hidden="1"/>
    </xf>
    <xf numFmtId="168" fontId="0" fillId="7" borderId="38" xfId="0" applyNumberFormat="1" applyFill="1" applyBorder="1" applyProtection="1">
      <protection hidden="1"/>
    </xf>
    <xf numFmtId="168" fontId="0" fillId="0" borderId="0" xfId="0" applyNumberFormat="1" applyFill="1" applyBorder="1" applyProtection="1">
      <protection hidden="1"/>
    </xf>
    <xf numFmtId="0" fontId="0" fillId="7" borderId="0" xfId="0" applyFill="1" applyBorder="1" applyProtection="1">
      <protection hidden="1"/>
    </xf>
    <xf numFmtId="0" fontId="0" fillId="3" borderId="40" xfId="0" applyFill="1" applyBorder="1" applyAlignment="1">
      <alignment vertical="center" textRotation="90"/>
    </xf>
    <xf numFmtId="0" fontId="2" fillId="12" borderId="3" xfId="0" applyFont="1" applyFill="1" applyBorder="1"/>
    <xf numFmtId="0" fontId="3" fillId="2" borderId="48" xfId="0" applyFont="1" applyFill="1" applyBorder="1" applyProtection="1">
      <protection hidden="1"/>
    </xf>
    <xf numFmtId="0" fontId="22" fillId="2" borderId="70" xfId="0" applyFont="1" applyFill="1" applyBorder="1" applyAlignment="1" applyProtection="1">
      <alignment horizontal="center"/>
      <protection hidden="1"/>
    </xf>
    <xf numFmtId="0" fontId="3" fillId="2" borderId="49" xfId="0" applyFont="1" applyFill="1" applyBorder="1" applyAlignment="1" applyProtection="1">
      <alignment horizontal="center"/>
      <protection hidden="1"/>
    </xf>
    <xf numFmtId="0" fontId="22" fillId="2" borderId="50" xfId="0" applyFont="1" applyFill="1" applyBorder="1" applyAlignment="1" applyProtection="1">
      <alignment horizontal="center"/>
      <protection hidden="1"/>
    </xf>
    <xf numFmtId="0" fontId="3" fillId="2" borderId="40" xfId="0" applyFont="1" applyFill="1" applyBorder="1" applyProtection="1">
      <protection hidden="1"/>
    </xf>
    <xf numFmtId="165" fontId="3" fillId="2" borderId="78" xfId="0" applyNumberFormat="1" applyFont="1" applyFill="1" applyBorder="1" applyProtection="1">
      <protection hidden="1"/>
    </xf>
    <xf numFmtId="165" fontId="3" fillId="2" borderId="41" xfId="0" applyNumberFormat="1" applyFont="1" applyFill="1" applyBorder="1" applyProtection="1">
      <protection hidden="1"/>
    </xf>
    <xf numFmtId="0" fontId="22" fillId="2" borderId="80" xfId="0" applyFont="1" applyFill="1" applyBorder="1" applyProtection="1">
      <protection hidden="1"/>
    </xf>
    <xf numFmtId="0" fontId="3" fillId="2" borderId="81" xfId="0" applyFont="1" applyFill="1" applyBorder="1" applyProtection="1">
      <protection hidden="1"/>
    </xf>
    <xf numFmtId="0" fontId="3" fillId="2" borderId="35" xfId="0" applyFont="1" applyFill="1" applyBorder="1" applyProtection="1">
      <protection hidden="1"/>
    </xf>
    <xf numFmtId="165" fontId="22" fillId="2" borderId="82" xfId="0" applyNumberFormat="1" applyFont="1" applyFill="1" applyBorder="1" applyProtection="1">
      <protection hidden="1"/>
    </xf>
    <xf numFmtId="0" fontId="22" fillId="2" borderId="0" xfId="0" applyFont="1" applyFill="1" applyBorder="1" applyProtection="1">
      <protection hidden="1"/>
    </xf>
    <xf numFmtId="165" fontId="22" fillId="2" borderId="0" xfId="0" applyNumberFormat="1" applyFont="1" applyFill="1" applyBorder="1" applyProtection="1">
      <protection hidden="1"/>
    </xf>
    <xf numFmtId="168" fontId="2" fillId="7" borderId="106" xfId="3" applyNumberFormat="1" applyFont="1" applyFill="1" applyBorder="1" applyAlignment="1" applyProtection="1">
      <alignment horizontal="center" vertical="center"/>
      <protection hidden="1"/>
    </xf>
    <xf numFmtId="0" fontId="3" fillId="2" borderId="105" xfId="0" applyFont="1" applyFill="1" applyBorder="1" applyAlignment="1" applyProtection="1">
      <alignment wrapText="1"/>
      <protection hidden="1"/>
    </xf>
    <xf numFmtId="0" fontId="3" fillId="2" borderId="66" xfId="0" applyFont="1" applyFill="1" applyBorder="1" applyAlignment="1" applyProtection="1">
      <alignment wrapText="1"/>
      <protection hidden="1"/>
    </xf>
    <xf numFmtId="0" fontId="22" fillId="2" borderId="66" xfId="0" applyFont="1" applyFill="1" applyBorder="1" applyProtection="1">
      <protection hidden="1"/>
    </xf>
    <xf numFmtId="0" fontId="2" fillId="2" borderId="66" xfId="0" applyFont="1" applyFill="1" applyBorder="1" applyAlignment="1" applyProtection="1">
      <alignment horizontal="center" vertical="center"/>
      <protection hidden="1"/>
    </xf>
    <xf numFmtId="0" fontId="2" fillId="2" borderId="66" xfId="0" applyFont="1" applyFill="1" applyBorder="1" applyAlignment="1" applyProtection="1">
      <alignment horizontal="center" vertical="center" wrapText="1"/>
      <protection hidden="1"/>
    </xf>
    <xf numFmtId="168" fontId="26" fillId="2" borderId="101" xfId="3" applyNumberFormat="1" applyFont="1" applyFill="1" applyBorder="1" applyAlignment="1" applyProtection="1">
      <alignment horizontal="center"/>
      <protection hidden="1"/>
    </xf>
    <xf numFmtId="168" fontId="0" fillId="0" borderId="67" xfId="3" applyNumberFormat="1" applyFont="1" applyFill="1" applyBorder="1" applyAlignment="1" applyProtection="1">
      <alignment horizontal="center" vertical="center"/>
      <protection hidden="1"/>
    </xf>
    <xf numFmtId="168" fontId="0" fillId="0" borderId="105" xfId="3" applyNumberFormat="1" applyFont="1" applyFill="1" applyBorder="1" applyAlignment="1" applyProtection="1">
      <alignment horizontal="center" vertical="center"/>
      <protection hidden="1"/>
    </xf>
    <xf numFmtId="168" fontId="26" fillId="0" borderId="45" xfId="3" applyNumberFormat="1" applyFont="1" applyFill="1" applyBorder="1" applyAlignment="1" applyProtection="1">
      <alignment horizontal="center"/>
      <protection hidden="1"/>
    </xf>
    <xf numFmtId="168" fontId="2" fillId="0" borderId="40" xfId="3" applyNumberFormat="1" applyFont="1" applyFill="1" applyBorder="1" applyAlignment="1" applyProtection="1">
      <alignment horizontal="center" vertical="center"/>
      <protection hidden="1"/>
    </xf>
    <xf numFmtId="168" fontId="26" fillId="0" borderId="40" xfId="3" applyNumberFormat="1" applyFont="1" applyFill="1" applyBorder="1" applyAlignment="1" applyProtection="1">
      <alignment horizontal="center"/>
      <protection hidden="1"/>
    </xf>
    <xf numFmtId="0" fontId="29" fillId="2" borderId="0" xfId="0" applyFont="1" applyFill="1" applyProtection="1">
      <protection hidden="1"/>
    </xf>
    <xf numFmtId="0" fontId="22" fillId="7" borderId="10" xfId="0" applyFont="1" applyFill="1" applyBorder="1" applyAlignment="1">
      <alignment horizontal="center"/>
    </xf>
    <xf numFmtId="165" fontId="2" fillId="4" borderId="57" xfId="1" applyFont="1" applyFill="1" applyBorder="1"/>
    <xf numFmtId="165" fontId="2" fillId="4" borderId="1" xfId="1" applyFont="1" applyFill="1" applyBorder="1"/>
    <xf numFmtId="168" fontId="2" fillId="4" borderId="6" xfId="0" applyNumberFormat="1" applyFont="1" applyFill="1" applyBorder="1"/>
    <xf numFmtId="165" fontId="0" fillId="0" borderId="65" xfId="1" applyFont="1" applyFill="1" applyBorder="1"/>
    <xf numFmtId="168" fontId="0" fillId="2" borderId="60" xfId="3" applyNumberFormat="1" applyFont="1" applyFill="1" applyBorder="1"/>
    <xf numFmtId="165" fontId="0" fillId="0" borderId="64" xfId="1" applyFont="1" applyFill="1" applyBorder="1"/>
    <xf numFmtId="168" fontId="0" fillId="2" borderId="58" xfId="3" applyNumberFormat="1" applyFont="1" applyFill="1" applyBorder="1"/>
    <xf numFmtId="0" fontId="23" fillId="2" borderId="0" xfId="0" applyFont="1" applyFill="1"/>
    <xf numFmtId="9" fontId="0" fillId="2" borderId="5" xfId="0" applyNumberFormat="1" applyFill="1" applyBorder="1" applyProtection="1">
      <protection hidden="1"/>
    </xf>
    <xf numFmtId="165" fontId="0" fillId="2" borderId="0" xfId="1" applyFont="1" applyFill="1" applyBorder="1" applyAlignment="1">
      <alignment horizontal="left"/>
    </xf>
    <xf numFmtId="9" fontId="2" fillId="5" borderId="7" xfId="2" applyFont="1" applyFill="1" applyBorder="1" applyAlignment="1" applyProtection="1">
      <alignment horizontal="center"/>
      <protection locked="0"/>
    </xf>
    <xf numFmtId="169" fontId="0" fillId="5" borderId="7" xfId="3" applyNumberFormat="1" applyFont="1" applyFill="1" applyBorder="1" applyAlignment="1" applyProtection="1">
      <alignment horizontal="right"/>
      <protection locked="0"/>
    </xf>
    <xf numFmtId="0" fontId="0" fillId="5" borderId="0" xfId="0" applyFill="1" applyAlignment="1" applyProtection="1">
      <alignment horizontal="right"/>
      <protection hidden="1"/>
    </xf>
    <xf numFmtId="0" fontId="0" fillId="5" borderId="8" xfId="0" applyFill="1" applyBorder="1"/>
    <xf numFmtId="0" fontId="0" fillId="5" borderId="0" xfId="0" applyFill="1" applyBorder="1"/>
    <xf numFmtId="4" fontId="0" fillId="5" borderId="8" xfId="0" applyNumberFormat="1" applyFill="1" applyBorder="1" applyAlignment="1">
      <alignment horizontal="right"/>
    </xf>
    <xf numFmtId="4" fontId="0" fillId="5" borderId="0" xfId="0" applyNumberFormat="1" applyFill="1" applyBorder="1" applyAlignment="1">
      <alignment horizontal="right"/>
    </xf>
    <xf numFmtId="0" fontId="0" fillId="5" borderId="0" xfId="0" applyFill="1" applyProtection="1">
      <protection hidden="1"/>
    </xf>
    <xf numFmtId="0" fontId="0" fillId="5" borderId="1" xfId="0" applyFill="1" applyBorder="1"/>
    <xf numFmtId="0" fontId="30" fillId="0" borderId="0" xfId="0" applyFont="1" applyFill="1"/>
    <xf numFmtId="4" fontId="0" fillId="5" borderId="1" xfId="0" applyNumberFormat="1" applyFill="1" applyBorder="1" applyAlignment="1">
      <alignment horizontal="right"/>
    </xf>
    <xf numFmtId="10" fontId="0" fillId="5" borderId="55" xfId="2" applyNumberFormat="1" applyFont="1" applyFill="1" applyBorder="1"/>
    <xf numFmtId="10" fontId="0" fillId="5" borderId="57" xfId="2" applyNumberFormat="1" applyFont="1" applyFill="1" applyBorder="1"/>
    <xf numFmtId="169" fontId="0" fillId="5" borderId="15" xfId="3" applyNumberFormat="1" applyFont="1" applyFill="1" applyBorder="1" applyAlignment="1" applyProtection="1">
      <alignment horizontal="right"/>
      <protection locked="0"/>
    </xf>
    <xf numFmtId="9" fontId="30" fillId="5" borderId="7" xfId="2" applyFont="1" applyFill="1" applyBorder="1" applyAlignment="1" applyProtection="1">
      <alignment horizontal="center"/>
      <protection locked="0"/>
    </xf>
    <xf numFmtId="169" fontId="0" fillId="7" borderId="7" xfId="3" applyNumberFormat="1" applyFont="1" applyFill="1" applyBorder="1" applyAlignment="1" applyProtection="1">
      <alignment horizontal="right"/>
    </xf>
    <xf numFmtId="169" fontId="2" fillId="7" borderId="7" xfId="3" applyNumberFormat="1" applyFont="1" applyFill="1" applyBorder="1" applyAlignment="1" applyProtection="1">
      <alignment horizontal="right"/>
    </xf>
    <xf numFmtId="14" fontId="0" fillId="2" borderId="0" xfId="0" applyNumberFormat="1" applyFill="1" applyProtection="1">
      <protection hidden="1"/>
    </xf>
    <xf numFmtId="10" fontId="32" fillId="2" borderId="74" xfId="2" applyNumberFormat="1" applyFont="1" applyFill="1" applyBorder="1" applyAlignment="1" applyProtection="1">
      <alignment horizontal="center"/>
      <protection hidden="1"/>
    </xf>
    <xf numFmtId="0" fontId="2" fillId="5" borderId="48" xfId="0" applyFont="1" applyFill="1" applyBorder="1" applyAlignment="1" applyProtection="1">
      <alignment horizontal="center"/>
      <protection hidden="1"/>
    </xf>
    <xf numFmtId="0" fontId="2" fillId="5" borderId="49" xfId="0" applyFont="1" applyFill="1" applyBorder="1" applyAlignment="1" applyProtection="1">
      <alignment horizontal="center"/>
      <protection hidden="1"/>
    </xf>
    <xf numFmtId="0" fontId="2" fillId="5" borderId="50" xfId="0" applyFont="1" applyFill="1" applyBorder="1" applyAlignment="1" applyProtection="1">
      <alignment horizontal="center"/>
      <protection hidden="1"/>
    </xf>
    <xf numFmtId="0" fontId="2" fillId="5" borderId="48" xfId="0" applyFont="1" applyFill="1" applyBorder="1" applyAlignment="1" applyProtection="1">
      <alignment horizontal="center"/>
      <protection locked="0"/>
    </xf>
    <xf numFmtId="0" fontId="2" fillId="5" borderId="49" xfId="0" applyFont="1" applyFill="1" applyBorder="1" applyAlignment="1" applyProtection="1">
      <alignment horizontal="center"/>
      <protection locked="0"/>
    </xf>
    <xf numFmtId="0" fontId="2" fillId="5" borderId="50" xfId="0" applyFont="1" applyFill="1" applyBorder="1" applyAlignment="1" applyProtection="1">
      <alignment horizontal="center"/>
      <protection locked="0"/>
    </xf>
    <xf numFmtId="167" fontId="9" fillId="2" borderId="1" xfId="0" applyNumberFormat="1" applyFont="1" applyFill="1" applyBorder="1" applyAlignment="1" applyProtection="1">
      <alignment horizontal="center"/>
      <protection hidden="1"/>
    </xf>
    <xf numFmtId="0" fontId="9" fillId="2" borderId="8" xfId="0" applyFont="1" applyFill="1" applyBorder="1" applyAlignment="1" applyProtection="1">
      <alignment horizontal="center"/>
      <protection hidden="1"/>
    </xf>
    <xf numFmtId="0" fontId="0" fillId="3" borderId="67" xfId="0" applyFill="1" applyBorder="1" applyAlignment="1">
      <alignment horizontal="center" vertical="center" textRotation="90"/>
    </xf>
    <xf numFmtId="0" fontId="0" fillId="3" borderId="68" xfId="0" applyFill="1" applyBorder="1" applyAlignment="1">
      <alignment horizontal="center" vertical="center" textRotation="90"/>
    </xf>
    <xf numFmtId="0" fontId="0" fillId="3" borderId="105" xfId="0" applyFill="1" applyBorder="1" applyAlignment="1">
      <alignment horizontal="center" vertical="center" textRotation="90"/>
    </xf>
    <xf numFmtId="0" fontId="2" fillId="11" borderId="3" xfId="0" applyFont="1" applyFill="1" applyBorder="1" applyAlignment="1">
      <alignment horizontal="center"/>
    </xf>
    <xf numFmtId="0" fontId="2" fillId="11" borderId="8" xfId="0" applyFont="1" applyFill="1" applyBorder="1" applyAlignment="1">
      <alignment horizontal="center"/>
    </xf>
    <xf numFmtId="0" fontId="2" fillId="11" borderId="55" xfId="0" applyFont="1" applyFill="1" applyBorder="1" applyAlignment="1">
      <alignment horizontal="center"/>
    </xf>
    <xf numFmtId="0" fontId="0" fillId="2" borderId="13" xfId="0" applyFill="1" applyBorder="1" applyAlignment="1">
      <alignment horizontal="center" vertical="center" textRotation="90"/>
    </xf>
    <xf numFmtId="0" fontId="0" fillId="2" borderId="14" xfId="0" applyFill="1" applyBorder="1" applyAlignment="1">
      <alignment horizontal="center" vertical="center" textRotation="90"/>
    </xf>
    <xf numFmtId="0" fontId="0" fillId="2" borderId="15" xfId="0" applyFill="1" applyBorder="1" applyAlignment="1">
      <alignment horizontal="center" vertical="center" textRotation="90"/>
    </xf>
    <xf numFmtId="0" fontId="24" fillId="2" borderId="56" xfId="0" applyFont="1" applyFill="1" applyBorder="1" applyAlignment="1">
      <alignment horizontal="center" vertical="center" textRotation="90"/>
    </xf>
    <xf numFmtId="0" fontId="22" fillId="7" borderId="12" xfId="0" applyFont="1" applyFill="1" applyBorder="1" applyAlignment="1">
      <alignment horizontal="center"/>
    </xf>
    <xf numFmtId="0" fontId="22" fillId="7" borderId="10" xfId="0" applyFont="1" applyFill="1" applyBorder="1" applyAlignment="1">
      <alignment horizontal="center"/>
    </xf>
    <xf numFmtId="1" fontId="11" fillId="2" borderId="17" xfId="0" applyNumberFormat="1" applyFont="1" applyFill="1" applyBorder="1" applyAlignment="1" applyProtection="1">
      <alignment horizontal="center" vertical="center"/>
      <protection hidden="1"/>
    </xf>
    <xf numFmtId="1" fontId="11" fillId="2" borderId="4" xfId="0" applyNumberFormat="1" applyFont="1" applyFill="1" applyBorder="1" applyAlignment="1" applyProtection="1">
      <alignment horizontal="center" vertical="center"/>
      <protection hidden="1"/>
    </xf>
    <xf numFmtId="0" fontId="0" fillId="6" borderId="13" xfId="0" applyFill="1" applyBorder="1" applyAlignment="1" applyProtection="1">
      <alignment horizontal="center" vertical="center"/>
      <protection hidden="1"/>
    </xf>
    <xf numFmtId="0" fontId="0" fillId="6" borderId="14" xfId="0" applyFill="1" applyBorder="1" applyAlignment="1" applyProtection="1">
      <alignment horizontal="center" vertical="center"/>
      <protection hidden="1"/>
    </xf>
    <xf numFmtId="0" fontId="0" fillId="6" borderId="15" xfId="0" applyFill="1" applyBorder="1" applyAlignment="1" applyProtection="1">
      <alignment horizontal="center" vertical="center"/>
      <protection hidden="1"/>
    </xf>
    <xf numFmtId="0" fontId="0" fillId="7" borderId="13" xfId="0" applyFill="1" applyBorder="1" applyAlignment="1" applyProtection="1">
      <alignment horizontal="center" vertical="center" textRotation="180" wrapText="1"/>
      <protection hidden="1"/>
    </xf>
    <xf numFmtId="0" fontId="0" fillId="7" borderId="14" xfId="0" applyFill="1" applyBorder="1" applyAlignment="1" applyProtection="1">
      <alignment horizontal="center" vertical="center" textRotation="180" wrapText="1"/>
      <protection hidden="1"/>
    </xf>
    <xf numFmtId="0" fontId="0" fillId="7" borderId="15" xfId="0" applyFill="1" applyBorder="1" applyAlignment="1" applyProtection="1">
      <alignment horizontal="center" vertical="center" textRotation="180" wrapText="1"/>
      <protection hidden="1"/>
    </xf>
    <xf numFmtId="0" fontId="7" fillId="7" borderId="13" xfId="0" applyFont="1" applyFill="1" applyBorder="1" applyAlignment="1" applyProtection="1">
      <alignment horizontal="center" vertical="center" textRotation="180" wrapText="1"/>
      <protection hidden="1"/>
    </xf>
    <xf numFmtId="0" fontId="7" fillId="7" borderId="14" xfId="0" applyFont="1" applyFill="1" applyBorder="1" applyAlignment="1" applyProtection="1">
      <alignment horizontal="center" vertical="center" textRotation="180" wrapText="1"/>
      <protection hidden="1"/>
    </xf>
    <xf numFmtId="0" fontId="7" fillId="7" borderId="15" xfId="0" applyFont="1" applyFill="1" applyBorder="1" applyAlignment="1" applyProtection="1">
      <alignment horizontal="center" vertical="center" textRotation="180" wrapText="1"/>
      <protection hidden="1"/>
    </xf>
  </cellXfs>
  <cellStyles count="6">
    <cellStyle name="Comma" xfId="1" builtinId="3"/>
    <cellStyle name="Currency" xfId="3" builtinId="4"/>
    <cellStyle name="Hyperlink" xfId="4" builtinId="8"/>
    <cellStyle name="Normal" xfId="0" builtinId="0"/>
    <cellStyle name="Normal 2 2" xfId="5" xr:uid="{00000000-0005-0000-0000-000004000000}"/>
    <cellStyle name="Percent" xfId="2" builtinId="5"/>
  </cellStyles>
  <dxfs count="293">
    <dxf>
      <font>
        <b val="0"/>
        <i val="0"/>
        <strike val="0"/>
        <condense val="0"/>
        <extend val="0"/>
        <outline val="0"/>
        <shadow val="0"/>
        <u val="none"/>
        <vertAlign val="baseline"/>
        <sz val="11"/>
        <color theme="1"/>
        <name val="Calibri"/>
        <family val="2"/>
        <scheme val="minor"/>
      </font>
      <numFmt numFmtId="164" formatCode="_(&quot;€&quot;* #,##0.00_);_(&quot;€&quot;* \(#,##0.00\);_(&quot;€&quot;* &quot;-&quot;??_);_(@_)"/>
      <border diagonalUp="0" diagonalDown="0" outline="0">
        <left/>
        <right/>
        <top/>
        <bottom/>
      </border>
    </dxf>
    <dxf>
      <border diagonalUp="0" diagonalDown="0">
        <left style="thin">
          <color auto="1"/>
        </left>
        <right style="medium">
          <color indexed="64"/>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family val="2"/>
        <scheme val="minor"/>
      </font>
      <numFmt numFmtId="164" formatCode="_(&quot;€&quot;* #,##0.00_);_(&quot;€&quot;* \(#,##0.00\);_(&quot;€&quot;* &quot;-&quot;??_);_(@_)"/>
      <border diagonalUp="0" diagonalDown="0" outline="0">
        <left/>
        <right/>
        <top/>
        <bottom/>
      </border>
    </dxf>
    <dxf>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family val="2"/>
        <scheme val="minor"/>
      </font>
      <numFmt numFmtId="164" formatCode="_(&quot;€&quot;* #,##0.00_);_(&quot;€&quot;* \(#,##0.00\);_(&quot;€&quot;* &quot;-&quot;??_);_(@_)"/>
      <border diagonalUp="0" diagonalDown="0" outline="0">
        <left/>
        <right/>
        <top/>
        <bottom/>
      </border>
    </dxf>
    <dxf>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family val="2"/>
        <scheme val="minor"/>
      </font>
      <numFmt numFmtId="164" formatCode="_(&quot;€&quot;* #,##0.00_);_(&quot;€&quot;* \(#,##0.00\);_(&quot;€&quot;* &quot;-&quot;??_);_(@_)"/>
      <border diagonalUp="0" diagonalDown="0" outline="0">
        <left/>
        <right/>
        <top/>
        <bottom/>
      </border>
    </dxf>
    <dxf>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family val="2"/>
        <scheme val="minor"/>
      </font>
      <numFmt numFmtId="164" formatCode="_(&quot;€&quot;* #,##0.00_);_(&quot;€&quot;* \(#,##0.00\);_(&quot;€&quot;* &quot;-&quot;??_);_(@_)"/>
      <border diagonalUp="0" diagonalDown="0" outline="0">
        <left/>
        <right/>
        <top/>
        <bottom/>
      </border>
    </dxf>
    <dxf>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family val="2"/>
        <scheme val="minor"/>
      </font>
      <numFmt numFmtId="164" formatCode="_(&quot;€&quot;* #,##0.00_);_(&quot;€&quot;* \(#,##0.00\);_(&quot;€&quot;* &quot;-&quot;??_);_(@_)"/>
      <border diagonalUp="0" diagonalDown="0" outline="0">
        <left/>
        <right/>
        <top/>
        <bottom/>
      </border>
    </dxf>
    <dxf>
      <border diagonalUp="0" diagonalDown="0">
        <left style="medium">
          <color indexed="64"/>
        </left>
        <right style="thin">
          <color auto="1"/>
        </right>
        <top style="thin">
          <color auto="1"/>
        </top>
        <bottom style="thin">
          <color auto="1"/>
        </bottom>
        <vertical style="thin">
          <color auto="1"/>
        </vertical>
        <horizontal style="thin">
          <color auto="1"/>
        </horizontal>
      </border>
    </dxf>
    <dxf>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bgColor auto="1"/>
        </patternFill>
      </fill>
      <border diagonalUp="0" diagonalDown="0" outline="0">
        <left style="thin">
          <color theme="4" tint="0.39997558519241921"/>
        </left>
        <right style="thin">
          <color theme="4" tint="0.39997558519241921"/>
        </right>
        <top/>
        <bottom/>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i val="0"/>
        <color auto="1"/>
      </font>
      <fill>
        <patternFill>
          <bgColor rgb="FFFFFF00"/>
        </patternFill>
      </fill>
    </dxf>
    <dxf>
      <font>
        <b/>
        <i val="0"/>
        <color auto="1"/>
      </font>
      <fill>
        <patternFill>
          <bgColor rgb="FFFFFF00"/>
        </patternFill>
      </fill>
    </dxf>
    <dxf>
      <fill>
        <patternFill patternType="none">
          <fgColor indexed="64"/>
          <bgColor auto="1"/>
        </patternFill>
      </fill>
    </dxf>
    <dxf>
      <fill>
        <patternFill patternType="none">
          <fgColor indexed="64"/>
          <bgColor auto="1"/>
        </patternFill>
      </fill>
    </dxf>
    <dxf>
      <numFmt numFmtId="14" formatCode="0.00%"/>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numFmt numFmtId="14" formatCode="0.00%"/>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4" formatCode="_(&quot;€&quot;* #,##0.00_);_(&quot;€&quot;* \(#,##0.00\);_(&quot;€&quot;* &quot;-&quot;??_);_(@_)"/>
      <border diagonalUp="0" diagonalDown="0" outline="0">
        <left/>
        <right/>
        <top/>
        <bottom/>
      </border>
    </dxf>
    <dxf>
      <border diagonalUp="0" diagonalDown="0">
        <left style="thin">
          <color auto="1"/>
        </left>
        <right style="medium">
          <color indexed="64"/>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family val="2"/>
        <scheme val="minor"/>
      </font>
      <numFmt numFmtId="164" formatCode="_(&quot;€&quot;* #,##0.00_);_(&quot;€&quot;* \(#,##0.00\);_(&quot;€&quot;* &quot;-&quot;??_);_(@_)"/>
      <border diagonalUp="0" diagonalDown="0" outline="0">
        <left/>
        <right/>
        <top/>
        <bottom/>
      </border>
    </dxf>
    <dxf>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family val="2"/>
        <scheme val="minor"/>
      </font>
      <numFmt numFmtId="164" formatCode="_(&quot;€&quot;* #,##0.00_);_(&quot;€&quot;* \(#,##0.00\);_(&quot;€&quot;* &quot;-&quot;??_);_(@_)"/>
      <border diagonalUp="0" diagonalDown="0" outline="0">
        <left/>
        <right/>
        <top/>
        <bottom/>
      </border>
    </dxf>
    <dxf>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family val="2"/>
        <scheme val="minor"/>
      </font>
      <numFmt numFmtId="164" formatCode="_(&quot;€&quot;* #,##0.00_);_(&quot;€&quot;* \(#,##0.00\);_(&quot;€&quot;* &quot;-&quot;??_);_(@_)"/>
      <border diagonalUp="0" diagonalDown="0" outline="0">
        <left/>
        <right/>
        <top/>
        <bottom/>
      </border>
    </dxf>
    <dxf>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family val="2"/>
        <scheme val="minor"/>
      </font>
      <numFmt numFmtId="164" formatCode="_(&quot;€&quot;* #,##0.00_);_(&quot;€&quot;* \(#,##0.00\);_(&quot;€&quot;* &quot;-&quot;??_);_(@_)"/>
      <border diagonalUp="0" diagonalDown="0" outline="0">
        <left/>
        <right/>
        <top/>
        <bottom/>
      </border>
    </dxf>
    <dxf>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family val="2"/>
        <scheme val="minor"/>
      </font>
      <numFmt numFmtId="164" formatCode="_(&quot;€&quot;* #,##0.00_);_(&quot;€&quot;* \(#,##0.00\);_(&quot;€&quot;* &quot;-&quot;??_);_(@_)"/>
      <border diagonalUp="0" diagonalDown="0" outline="0">
        <left/>
        <right/>
        <top/>
        <bottom/>
      </border>
    </dxf>
    <dxf>
      <border diagonalUp="0" diagonalDown="0">
        <left style="medium">
          <color indexed="64"/>
        </left>
        <right style="thin">
          <color auto="1"/>
        </right>
        <top style="thin">
          <color auto="1"/>
        </top>
        <bottom style="thin">
          <color auto="1"/>
        </bottom>
        <vertical style="thin">
          <color auto="1"/>
        </vertical>
        <horizontal style="thin">
          <color auto="1"/>
        </horizontal>
      </border>
    </dxf>
    <dxf>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bgColor auto="1"/>
        </patternFill>
      </fill>
      <border diagonalUp="0" diagonalDown="0" outline="0">
        <left style="thin">
          <color theme="4" tint="0.39997558519241921"/>
        </left>
        <right style="thin">
          <color theme="4" tint="0.39997558519241921"/>
        </right>
        <top/>
        <bottom/>
      </border>
    </dxf>
    <dxf>
      <font>
        <b val="0"/>
        <i val="0"/>
        <strike val="0"/>
        <condense val="0"/>
        <extend val="0"/>
        <outline val="0"/>
        <shadow val="0"/>
        <u val="none"/>
        <vertAlign val="baseline"/>
        <sz val="11"/>
        <color theme="1"/>
        <name val="Calibri"/>
        <family val="2"/>
        <scheme val="minor"/>
      </font>
    </dxf>
    <dxf>
      <numFmt numFmtId="164" formatCode="_(&quot;€&quot;* #,##0.00_);_(&quot;€&quot;* \(#,##0.00\);_(&quot;€&quot;* &quot;-&quot;??_);_(@_)"/>
    </dxf>
    <dxf>
      <font>
        <b val="0"/>
        <i val="0"/>
        <strike val="0"/>
        <condense val="0"/>
        <extend val="0"/>
        <outline val="0"/>
        <shadow val="0"/>
        <u val="none"/>
        <vertAlign val="baseline"/>
        <sz val="11"/>
        <color theme="1"/>
        <name val="Calibri"/>
        <family val="2"/>
        <scheme val="minor"/>
      </font>
      <numFmt numFmtId="164" formatCode="_(&quot;€&quot;* #,##0.00_);_(&quot;€&quot;* \(#,##0.00\);_(&quot;€&quot;* &quot;-&quot;??_);_(@_)"/>
    </dxf>
    <dxf>
      <numFmt numFmtId="164" formatCode="_(&quot;€&quot;* #,##0.00_);_(&quot;€&quot;* \(#,##0.00\);_(&quot;€&quot;* &quot;-&quot;??_);_(@_)"/>
    </dxf>
    <dxf>
      <font>
        <b val="0"/>
        <i val="0"/>
        <strike val="0"/>
        <condense val="0"/>
        <extend val="0"/>
        <outline val="0"/>
        <shadow val="0"/>
        <u val="none"/>
        <vertAlign val="baseline"/>
        <sz val="11"/>
        <color theme="1"/>
        <name val="Calibri"/>
        <family val="2"/>
        <scheme val="minor"/>
      </font>
      <numFmt numFmtId="164" formatCode="_(&quot;€&quot;* #,##0.00_);_(&quot;€&quot;* \(#,##0.00\);_(&quot;€&quot;* &quot;-&quot;??_);_(@_)"/>
    </dxf>
    <dxf>
      <font>
        <b val="0"/>
        <i val="0"/>
        <strike val="0"/>
        <condense val="0"/>
        <extend val="0"/>
        <outline val="0"/>
        <shadow val="0"/>
        <u val="none"/>
        <vertAlign val="baseline"/>
        <sz val="11"/>
        <color theme="1"/>
        <name val="Calibri"/>
        <family val="2"/>
        <scheme val="minor"/>
      </font>
      <numFmt numFmtId="164" formatCode="_(&quot;€&quot;* #,##0.00_);_(&quot;€&quot;* \(#,##0.00\);_(&quot;€&quot;* &quot;-&quot;??_);_(@_)"/>
    </dxf>
    <dxf>
      <font>
        <b val="0"/>
        <i val="0"/>
        <strike val="0"/>
        <condense val="0"/>
        <extend val="0"/>
        <outline val="0"/>
        <shadow val="0"/>
        <u val="none"/>
        <vertAlign val="baseline"/>
        <sz val="11"/>
        <color theme="1"/>
        <name val="Calibri"/>
        <family val="2"/>
        <scheme val="minor"/>
      </font>
      <numFmt numFmtId="164" formatCode="_(&quot;€&quot;* #,##0.00_);_(&quot;€&quot;* \(#,##0.00\);_(&quot;€&quot;* &quot;-&quot;??_);_(@_)"/>
    </dxf>
    <dxf>
      <numFmt numFmtId="164" formatCode="_(&quot;€&quot;* #,##0.00_);_(&quot;€&quot;* \(#,##0.00\);_(&quot;€&quot;* &quot;-&quot;??_);_(@_)"/>
    </dxf>
    <dxf>
      <font>
        <b val="0"/>
        <i val="0"/>
        <strike val="0"/>
        <condense val="0"/>
        <extend val="0"/>
        <outline val="0"/>
        <shadow val="0"/>
        <u val="none"/>
        <vertAlign val="baseline"/>
        <sz val="11"/>
        <color theme="1"/>
        <name val="Calibri"/>
        <family val="2"/>
        <scheme val="minor"/>
      </font>
      <numFmt numFmtId="164" formatCode="_(&quot;€&quot;* #,##0.00_);_(&quot;€&quot;* \(#,##0.00\);_(&quot;€&quot;* &quot;-&quot;??_);_(@_)"/>
    </dxf>
    <dxf>
      <font>
        <b val="0"/>
        <i val="0"/>
        <strike val="0"/>
        <condense val="0"/>
        <extend val="0"/>
        <outline val="0"/>
        <shadow val="0"/>
        <u val="none"/>
        <vertAlign val="baseline"/>
        <sz val="11"/>
        <color theme="1"/>
        <name val="Calibri"/>
        <scheme val="minor"/>
      </font>
    </dxf>
    <dxf>
      <numFmt numFmtId="164" formatCode="_(&quot;€&quot;* #,##0.00_);_(&quot;€&quot;* \(#,##0.00\);_(&quot;€&quot;* &quot;-&quot;??_);_(@_)"/>
    </dxf>
    <dxf>
      <font>
        <b val="0"/>
        <i val="0"/>
        <strike val="0"/>
        <condense val="0"/>
        <extend val="0"/>
        <outline val="0"/>
        <shadow val="0"/>
        <u val="none"/>
        <vertAlign val="baseline"/>
        <sz val="11"/>
        <color theme="1"/>
        <name val="Calibri"/>
        <family val="2"/>
        <scheme val="minor"/>
      </font>
      <numFmt numFmtId="164" formatCode="_(&quot;€&quot;* #,##0.00_);_(&quot;€&quot;* \(#,##0.00\);_(&quot;€&quot;* &quot;-&quot;??_);_(@_)"/>
    </dxf>
    <dxf>
      <font>
        <b val="0"/>
        <i val="0"/>
        <strike val="0"/>
        <condense val="0"/>
        <extend val="0"/>
        <outline val="0"/>
        <shadow val="0"/>
        <u val="none"/>
        <vertAlign val="baseline"/>
        <sz val="11"/>
        <color theme="1"/>
        <name val="Calibri"/>
        <family val="2"/>
        <scheme val="minor"/>
      </font>
      <numFmt numFmtId="164" formatCode="_(&quot;€&quot;* #,##0.00_);_(&quot;€&quot;* \(#,##0.00\);_(&quot;€&quot;* &quot;-&quot;??_);_(@_)"/>
    </dxf>
    <dxf>
      <font>
        <b val="0"/>
        <i val="0"/>
        <strike val="0"/>
        <condense val="0"/>
        <extend val="0"/>
        <outline val="0"/>
        <shadow val="0"/>
        <u val="none"/>
        <vertAlign val="baseline"/>
        <sz val="11"/>
        <color theme="1"/>
        <name val="Calibri"/>
        <family val="2"/>
        <scheme val="minor"/>
      </font>
      <numFmt numFmtId="164" formatCode="_(&quot;€&quot;* #,##0.00_);_(&quot;€&quot;* \(#,##0.00\);_(&quot;€&quot;* &quot;-&quot;??_);_(@_)"/>
    </dxf>
    <dxf>
      <font>
        <b val="0"/>
        <i val="0"/>
        <strike val="0"/>
        <condense val="0"/>
        <extend val="0"/>
        <outline val="0"/>
        <shadow val="0"/>
        <u val="none"/>
        <vertAlign val="baseline"/>
        <sz val="11"/>
        <color theme="1"/>
        <name val="Calibri"/>
        <scheme val="minor"/>
      </font>
    </dxf>
    <dxf>
      <font>
        <color rgb="FF9C0006"/>
      </font>
      <fill>
        <patternFill>
          <bgColor rgb="FFFFC7CE"/>
        </patternFill>
      </fill>
    </dxf>
    <dxf>
      <fill>
        <patternFill patternType="none">
          <fgColor indexed="64"/>
          <bgColor indexed="65"/>
        </patternFill>
      </fill>
      <protection locked="1" hidden="1"/>
    </dxf>
    <dxf>
      <fill>
        <patternFill patternType="solid">
          <fgColor indexed="64"/>
          <bgColor theme="5" tint="0.59999389629810485"/>
        </patternFill>
      </fill>
      <protection locked="0" hidden="0"/>
    </dxf>
    <dxf>
      <fill>
        <patternFill patternType="none">
          <fgColor indexed="64"/>
          <bgColor indexed="65"/>
        </patternFill>
      </fill>
      <protection locked="1" hidden="1"/>
    </dxf>
    <dxf>
      <fill>
        <patternFill patternType="solid">
          <fgColor indexed="64"/>
          <bgColor theme="0" tint="-0.14999847407452621"/>
        </patternFill>
      </fill>
      <protection locked="0" hidden="0"/>
    </dxf>
    <dxf>
      <fill>
        <patternFill patternType="none">
          <fgColor indexed="64"/>
          <bgColor indexed="65"/>
        </patternFill>
      </fill>
      <protection locked="1" hidden="1"/>
    </dxf>
    <dxf>
      <fill>
        <patternFill patternType="solid">
          <fgColor indexed="64"/>
          <bgColor theme="0" tint="-0.14999847407452621"/>
        </patternFill>
      </fill>
      <protection locked="0" hidden="0"/>
    </dxf>
    <dxf>
      <font>
        <b val="0"/>
        <i val="0"/>
        <strike val="0"/>
        <condense val="0"/>
        <extend val="0"/>
        <outline val="0"/>
        <shadow val="0"/>
        <u val="none"/>
        <vertAlign val="baseline"/>
        <sz val="11"/>
        <color theme="1"/>
        <name val="Calibri"/>
        <family val="2"/>
        <scheme val="minor"/>
      </font>
      <numFmt numFmtId="168" formatCode="#,##0.00\ &quot;€&quot;"/>
      <fill>
        <patternFill patternType="none">
          <fgColor indexed="64"/>
          <bgColor indexed="65"/>
        </patternFill>
      </fill>
      <protection locked="1" hidden="1"/>
    </dxf>
    <dxf>
      <numFmt numFmtId="168" formatCode="#,##0.00\ &quot;€&quot;"/>
      <fill>
        <patternFill patternType="none">
          <fgColor indexed="64"/>
          <bgColor auto="1"/>
        </patternFill>
      </fill>
      <protection locked="0" hidden="0"/>
    </dxf>
    <dxf>
      <fill>
        <patternFill patternType="none">
          <fgColor indexed="64"/>
          <bgColor indexed="65"/>
        </patternFill>
      </fill>
      <protection locked="1" hidden="1"/>
    </dxf>
    <dxf>
      <fill>
        <patternFill patternType="none">
          <fgColor indexed="64"/>
          <bgColor auto="1"/>
        </patternFill>
      </fill>
      <protection locked="0" hidden="0"/>
    </dxf>
    <dxf>
      <fill>
        <patternFill patternType="none">
          <fgColor indexed="64"/>
          <bgColor indexed="65"/>
        </patternFill>
      </fill>
      <protection locked="1" hidden="1"/>
    </dxf>
    <dxf>
      <fill>
        <patternFill patternType="none">
          <fgColor indexed="64"/>
          <bgColor auto="1"/>
        </patternFill>
      </fill>
      <protection locked="0" hidden="0"/>
    </dxf>
    <dxf>
      <protection locked="1" hidden="1"/>
    </dxf>
    <dxf>
      <fill>
        <patternFill patternType="none">
          <fgColor indexed="64"/>
          <bgColor auto="1"/>
        </patternFill>
      </fill>
      <protection locked="0" hidden="0"/>
    </dxf>
    <dxf>
      <fill>
        <patternFill patternType="none">
          <fgColor indexed="64"/>
          <bgColor auto="1"/>
        </patternFill>
      </fill>
      <alignment horizontal="center" vertical="bottom" textRotation="0" wrapText="0" indent="0" justifyLastLine="0" shrinkToFit="0" readingOrder="0"/>
      <protection locked="1" hidden="1"/>
    </dxf>
    <dxf>
      <fill>
        <patternFill patternType="none">
          <fgColor indexed="64"/>
          <bgColor indexed="65"/>
        </patternFill>
      </fill>
      <protection locked="1" hidden="1"/>
    </dxf>
    <dxf>
      <fill>
        <patternFill patternType="solid">
          <fgColor indexed="64"/>
          <bgColor theme="0" tint="-0.14999847407452621"/>
        </patternFill>
      </fill>
      <protection locked="1" hidden="1"/>
    </dxf>
    <dxf>
      <fill>
        <patternFill patternType="none">
          <fgColor indexed="64"/>
          <bgColor indexed="65"/>
        </patternFill>
      </fill>
      <protection locked="0" hidden="0"/>
    </dxf>
    <dxf>
      <fill>
        <patternFill patternType="solid">
          <fgColor indexed="64"/>
          <bgColor theme="5" tint="0.59999389629810485"/>
        </patternFill>
      </fill>
      <protection locked="0" hidden="0"/>
    </dxf>
    <dxf>
      <fill>
        <patternFill patternType="solid">
          <fgColor indexed="64"/>
          <bgColor theme="0" tint="-0.14999847407452621"/>
        </patternFill>
      </fill>
      <border diagonalUp="0" diagonalDown="0" outline="0">
        <left/>
        <right/>
        <top/>
        <bottom/>
      </border>
      <protection locked="1" hidden="1"/>
    </dxf>
    <dxf>
      <numFmt numFmtId="168" formatCode="#,##0.00\ &quot;€&quot;"/>
      <fill>
        <patternFill patternType="none">
          <fgColor indexed="64"/>
          <bgColor indexed="65"/>
        </patternFill>
      </fill>
      <protection locked="1" hidden="1"/>
    </dxf>
    <dxf>
      <fill>
        <patternFill patternType="solid">
          <fgColor indexed="64"/>
          <bgColor theme="0" tint="-0.14999847407452621"/>
        </patternFill>
      </fill>
      <border diagonalUp="0" diagonalDown="0" outline="0">
        <left/>
        <right/>
        <top/>
        <bottom/>
      </border>
      <protection locked="1" hidden="1"/>
    </dxf>
    <dxf>
      <numFmt numFmtId="168" formatCode="#,##0.00\ &quot;€&quot;"/>
      <fill>
        <patternFill patternType="none">
          <fgColor indexed="64"/>
          <bgColor auto="1"/>
        </patternFill>
      </fill>
      <protection locked="1" hidden="1"/>
    </dxf>
    <dxf>
      <fill>
        <patternFill patternType="solid">
          <fgColor indexed="64"/>
          <bgColor theme="0" tint="-0.14999847407452621"/>
        </patternFill>
      </fill>
      <border diagonalUp="0" diagonalDown="0" outline="0">
        <left/>
        <right/>
        <top/>
        <bottom/>
      </border>
      <protection locked="1" hidden="1"/>
    </dxf>
    <dxf>
      <numFmt numFmtId="168" formatCode="#,##0.00\ &quot;€&quot;"/>
      <fill>
        <patternFill patternType="none">
          <fgColor indexed="64"/>
          <bgColor indexed="65"/>
        </patternFill>
      </fill>
      <protection locked="1" hidden="1"/>
    </dxf>
    <dxf>
      <fill>
        <patternFill patternType="solid">
          <fgColor indexed="64"/>
          <bgColor theme="0" tint="-0.14999847407452621"/>
        </patternFill>
      </fill>
      <border diagonalUp="0" diagonalDown="0" outline="0">
        <left/>
        <right/>
        <top/>
        <bottom/>
      </border>
      <protection locked="0" hidden="0"/>
    </dxf>
    <dxf>
      <fill>
        <patternFill patternType="none">
          <fgColor indexed="64"/>
          <bgColor auto="1"/>
        </patternFill>
      </fill>
      <protection locked="0" hidden="0"/>
    </dxf>
    <dxf>
      <fill>
        <patternFill patternType="none">
          <fgColor indexed="64"/>
          <bgColor indexed="65"/>
        </patternFill>
      </fill>
      <protection locked="0" hidden="0"/>
    </dxf>
    <dxf>
      <fill>
        <patternFill patternType="none">
          <fgColor indexed="64"/>
          <bgColor auto="1"/>
        </patternFill>
      </fill>
      <protection locked="0" hidden="0"/>
    </dxf>
    <dxf>
      <font>
        <b val="0"/>
        <i val="0"/>
        <strike val="0"/>
        <condense val="0"/>
        <extend val="0"/>
        <outline val="0"/>
        <shadow val="0"/>
        <u val="none"/>
        <vertAlign val="baseline"/>
        <sz val="11"/>
        <color theme="1"/>
        <name val="Calibri"/>
        <family val="2"/>
        <scheme val="minor"/>
      </font>
      <numFmt numFmtId="164" formatCode="_(&quot;€&quot;* #,##0.00_);_(&quot;€&quot;* \(#,##0.00\);_(&quot;€&quot;* &quot;-&quot;??_);_(@_)"/>
      <fill>
        <patternFill patternType="none">
          <fgColor indexed="64"/>
          <bgColor indexed="65"/>
        </patternFill>
      </fill>
      <protection locked="0" hidden="0"/>
    </dxf>
    <dxf>
      <numFmt numFmtId="164" formatCode="_(&quot;€&quot;* #,##0.00_);_(&quot;€&quot;* \(#,##0.00\);_(&quot;€&quot;* &quot;-&quot;??_);_(@_)"/>
      <fill>
        <patternFill patternType="solid">
          <fgColor indexed="64"/>
          <bgColor theme="0" tint="-0.14999847407452621"/>
        </patternFill>
      </fill>
      <border diagonalUp="0" diagonalDown="0">
        <left/>
        <right/>
        <top style="dashed">
          <color auto="1"/>
        </top>
        <bottom style="dashed">
          <color auto="1"/>
        </bottom>
        <vertical/>
        <horizontal style="dashed">
          <color auto="1"/>
        </horizontal>
      </border>
      <protection locked="1" hidden="1"/>
    </dxf>
    <dxf>
      <font>
        <b val="0"/>
        <i val="0"/>
        <strike val="0"/>
        <condense val="0"/>
        <extend val="0"/>
        <outline val="0"/>
        <shadow val="0"/>
        <u val="none"/>
        <vertAlign val="baseline"/>
        <sz val="11"/>
        <color theme="1"/>
        <name val="Calibri"/>
        <family val="2"/>
        <scheme val="minor"/>
      </font>
      <numFmt numFmtId="164" formatCode="_(&quot;€&quot;* #,##0.00_);_(&quot;€&quot;* \(#,##0.00\);_(&quot;€&quot;* &quot;-&quot;??_);_(@_)"/>
      <fill>
        <patternFill patternType="none">
          <fgColor indexed="64"/>
          <bgColor indexed="65"/>
        </patternFill>
      </fill>
      <protection locked="0" hidden="0"/>
    </dxf>
    <dxf>
      <fill>
        <patternFill patternType="none">
          <fgColor indexed="64"/>
          <bgColor auto="1"/>
        </patternFill>
      </fill>
      <protection locked="0" hidden="0"/>
    </dxf>
    <dxf>
      <font>
        <b val="0"/>
        <i val="0"/>
        <strike val="0"/>
        <condense val="0"/>
        <extend val="0"/>
        <outline val="0"/>
        <shadow val="0"/>
        <u val="none"/>
        <vertAlign val="baseline"/>
        <sz val="11"/>
        <color theme="1"/>
        <name val="Calibri"/>
        <family val="2"/>
        <scheme val="minor"/>
      </font>
      <numFmt numFmtId="164" formatCode="_(&quot;€&quot;* #,##0.00_);_(&quot;€&quot;* \(#,##0.00\);_(&quot;€&quot;* &quot;-&quot;??_);_(@_)"/>
      <fill>
        <patternFill patternType="none">
          <fgColor indexed="64"/>
          <bgColor indexed="65"/>
        </patternFill>
      </fill>
      <protection locked="0" hidden="0"/>
    </dxf>
    <dxf>
      <fill>
        <patternFill patternType="solid">
          <fgColor indexed="64"/>
          <bgColor theme="0" tint="-0.14999847407452621"/>
        </patternFill>
      </fill>
      <border diagonalUp="0" diagonalDown="0">
        <left/>
        <right/>
        <top style="dashed">
          <color auto="1"/>
        </top>
        <bottom style="dashed">
          <color auto="1"/>
        </bottom>
        <vertical/>
        <horizontal style="dashed">
          <color auto="1"/>
        </horizontal>
      </border>
      <protection locked="1" hidden="1"/>
    </dxf>
    <dxf>
      <font>
        <b val="0"/>
        <i val="0"/>
        <strike val="0"/>
        <condense val="0"/>
        <extend val="0"/>
        <outline val="0"/>
        <shadow val="0"/>
        <u val="none"/>
        <vertAlign val="baseline"/>
        <sz val="11"/>
        <color theme="1"/>
        <name val="Calibri"/>
        <family val="2"/>
        <scheme val="minor"/>
      </font>
      <numFmt numFmtId="164" formatCode="_(&quot;€&quot;* #,##0.00_);_(&quot;€&quot;* \(#,##0.00\);_(&quot;€&quot;* &quot;-&quot;??_);_(@_)"/>
      <fill>
        <patternFill patternType="none">
          <fgColor indexed="64"/>
          <bgColor indexed="65"/>
        </patternFill>
      </fill>
      <protection locked="0" hidden="0"/>
    </dxf>
    <dxf>
      <fill>
        <patternFill patternType="none">
          <fgColor indexed="64"/>
          <bgColor auto="1"/>
        </patternFill>
      </fill>
      <protection locked="0" hidden="0"/>
    </dxf>
    <dxf>
      <font>
        <b val="0"/>
        <i val="0"/>
        <strike val="0"/>
        <condense val="0"/>
        <extend val="0"/>
        <outline val="0"/>
        <shadow val="0"/>
        <u val="none"/>
        <vertAlign val="baseline"/>
        <sz val="11"/>
        <color theme="1"/>
        <name val="Calibri"/>
        <family val="2"/>
        <scheme val="minor"/>
      </font>
      <numFmt numFmtId="164" formatCode="_(&quot;€&quot;* #,##0.00_);_(&quot;€&quot;* \(#,##0.00\);_(&quot;€&quot;* &quot;-&quot;??_);_(@_)"/>
      <fill>
        <patternFill patternType="none">
          <fgColor indexed="64"/>
          <bgColor indexed="65"/>
        </patternFill>
      </fill>
      <protection locked="0" hidden="0"/>
    </dxf>
    <dxf>
      <fill>
        <patternFill patternType="none">
          <fgColor indexed="64"/>
          <bgColor auto="1"/>
        </patternFill>
      </fill>
      <protection locked="0" hidden="0"/>
    </dxf>
    <dxf>
      <font>
        <b val="0"/>
        <i val="0"/>
        <strike val="0"/>
        <condense val="0"/>
        <extend val="0"/>
        <outline val="0"/>
        <shadow val="0"/>
        <u val="none"/>
        <vertAlign val="baseline"/>
        <sz val="11"/>
        <color theme="1"/>
        <name val="Calibri"/>
        <family val="2"/>
        <scheme val="minor"/>
      </font>
      <numFmt numFmtId="164" formatCode="_(&quot;€&quot;* #,##0.00_);_(&quot;€&quot;* \(#,##0.00\);_(&quot;€&quot;* &quot;-&quot;??_);_(@_)"/>
      <fill>
        <patternFill patternType="none">
          <fgColor indexed="64"/>
          <bgColor indexed="65"/>
        </patternFill>
      </fill>
      <protection locked="0" hidden="0"/>
    </dxf>
    <dxf>
      <fill>
        <patternFill patternType="none">
          <fgColor indexed="64"/>
          <bgColor auto="1"/>
        </patternFill>
      </fill>
      <protection locked="0" hidden="0"/>
    </dxf>
    <dxf>
      <font>
        <b val="0"/>
        <i val="0"/>
        <strike val="0"/>
        <condense val="0"/>
        <extend val="0"/>
        <outline val="0"/>
        <shadow val="0"/>
        <u val="none"/>
        <vertAlign val="baseline"/>
        <sz val="11"/>
        <color theme="1"/>
        <name val="Calibri"/>
        <family val="2"/>
        <scheme val="minor"/>
      </font>
      <numFmt numFmtId="164" formatCode="_(&quot;€&quot;* #,##0.00_);_(&quot;€&quot;* \(#,##0.00\);_(&quot;€&quot;* &quot;-&quot;??_);_(@_)"/>
      <fill>
        <patternFill patternType="none">
          <fgColor indexed="64"/>
          <bgColor indexed="65"/>
        </patternFill>
      </fill>
      <protection locked="0" hidden="0"/>
    </dxf>
    <dxf>
      <fill>
        <patternFill patternType="none">
          <fgColor indexed="64"/>
          <bgColor auto="1"/>
        </patternFill>
      </fill>
      <protection locked="0" hidden="0"/>
    </dxf>
    <dxf>
      <font>
        <b val="0"/>
        <i val="0"/>
        <strike val="0"/>
        <condense val="0"/>
        <extend val="0"/>
        <outline val="0"/>
        <shadow val="0"/>
        <u val="none"/>
        <vertAlign val="baseline"/>
        <sz val="11"/>
        <color theme="1"/>
        <name val="Calibri"/>
        <family val="2"/>
        <scheme val="minor"/>
      </font>
      <numFmt numFmtId="164" formatCode="_(&quot;€&quot;* #,##0.00_);_(&quot;€&quot;* \(#,##0.00\);_(&quot;€&quot;* &quot;-&quot;??_);_(@_)"/>
      <fill>
        <patternFill patternType="none">
          <fgColor indexed="64"/>
          <bgColor indexed="65"/>
        </patternFill>
      </fill>
      <protection locked="0" hidden="0"/>
    </dxf>
    <dxf>
      <fill>
        <patternFill patternType="none">
          <fgColor indexed="64"/>
          <bgColor auto="1"/>
        </patternFill>
      </fill>
      <protection locked="0" hidden="0"/>
    </dxf>
    <dxf>
      <font>
        <b val="0"/>
        <i val="0"/>
        <strike val="0"/>
        <condense val="0"/>
        <extend val="0"/>
        <outline val="0"/>
        <shadow val="0"/>
        <u val="none"/>
        <vertAlign val="baseline"/>
        <sz val="11"/>
        <color theme="1"/>
        <name val="Calibri"/>
        <family val="2"/>
        <scheme val="minor"/>
      </font>
      <numFmt numFmtId="165" formatCode="_(* #,##0.00_);_(* \(#,##0.00\);_(* &quot;-&quot;??_);_(@_)"/>
      <fill>
        <patternFill patternType="none">
          <fgColor indexed="64"/>
          <bgColor indexed="65"/>
        </patternFill>
      </fill>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protection locked="0" hidden="0"/>
    </dxf>
    <dxf>
      <font>
        <b val="0"/>
        <i val="0"/>
        <strike val="0"/>
        <condense val="0"/>
        <extend val="0"/>
        <outline val="0"/>
        <shadow val="0"/>
        <u val="none"/>
        <vertAlign val="baseline"/>
        <sz val="11"/>
        <color theme="1"/>
        <name val="Calibri"/>
        <family val="2"/>
        <scheme val="minor"/>
      </font>
      <numFmt numFmtId="165" formatCode="_(* #,##0.00_);_(* \(#,##0.00\);_(* &quot;-&quot;??_);_(@_)"/>
      <fill>
        <patternFill patternType="none">
          <fgColor indexed="64"/>
          <bgColor indexed="65"/>
        </patternFill>
      </fill>
      <protection locked="0" hidden="0"/>
    </dxf>
    <dxf>
      <fill>
        <patternFill patternType="none">
          <fgColor indexed="64"/>
          <bgColor auto="1"/>
        </patternFill>
      </fill>
      <protection locked="0" hidden="0"/>
    </dxf>
    <dxf>
      <font>
        <b val="0"/>
        <i val="0"/>
        <strike val="0"/>
        <condense val="0"/>
        <extend val="0"/>
        <outline val="0"/>
        <shadow val="0"/>
        <u val="none"/>
        <vertAlign val="baseline"/>
        <sz val="11"/>
        <color theme="1"/>
        <name val="Calibri"/>
        <family val="2"/>
        <scheme val="minor"/>
      </font>
      <numFmt numFmtId="165" formatCode="_(* #,##0.00_);_(* \(#,##0.00\);_(* &quot;-&quot;??_);_(@_)"/>
      <fill>
        <patternFill patternType="none">
          <fgColor indexed="64"/>
          <bgColor indexed="65"/>
        </patternFill>
      </fill>
      <protection locked="0" hidden="0"/>
    </dxf>
    <dxf>
      <numFmt numFmtId="165" formatCode="_(* #,##0.00_);_(* \(#,##0.00\);_(* &quot;-&quot;??_);_(@_)"/>
      <fill>
        <patternFill patternType="solid">
          <fgColor indexed="64"/>
          <bgColor theme="0" tint="-0.14999847407452621"/>
        </patternFill>
      </fill>
      <border diagonalUp="0" diagonalDown="0">
        <left/>
        <right/>
        <top style="dashed">
          <color auto="1"/>
        </top>
        <bottom style="dashed">
          <color auto="1"/>
        </bottom>
        <vertical/>
        <horizontal style="dashed">
          <color auto="1"/>
        </horizontal>
      </border>
      <protection locked="1" hidden="1"/>
    </dxf>
    <dxf>
      <font>
        <b val="0"/>
        <i val="0"/>
        <strike val="0"/>
        <condense val="0"/>
        <extend val="0"/>
        <outline val="0"/>
        <shadow val="0"/>
        <u val="none"/>
        <vertAlign val="baseline"/>
        <sz val="11"/>
        <color theme="1"/>
        <name val="Calibri"/>
        <family val="2"/>
        <scheme val="minor"/>
      </font>
      <numFmt numFmtId="165" formatCode="_(* #,##0.00_);_(* \(#,##0.00\);_(* &quot;-&quot;??_);_(@_)"/>
      <fill>
        <patternFill patternType="none">
          <fgColor indexed="64"/>
          <bgColor indexed="65"/>
        </patternFill>
      </fill>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protection locked="0" hidden="0"/>
    </dxf>
    <dxf>
      <font>
        <b val="0"/>
        <i val="0"/>
        <strike val="0"/>
        <condense val="0"/>
        <extend val="0"/>
        <outline val="0"/>
        <shadow val="0"/>
        <u val="none"/>
        <vertAlign val="baseline"/>
        <sz val="11"/>
        <color theme="1"/>
        <name val="Calibri"/>
        <family val="2"/>
        <scheme val="minor"/>
      </font>
      <numFmt numFmtId="165" formatCode="_(* #,##0.00_);_(* \(#,##0.00\);_(* &quot;-&quot;??_);_(@_)"/>
      <fill>
        <patternFill patternType="none">
          <fgColor indexed="64"/>
          <bgColor indexed="65"/>
        </patternFill>
      </fill>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protection locked="0" hidden="0"/>
    </dxf>
    <dxf>
      <font>
        <b val="0"/>
        <i val="0"/>
        <strike val="0"/>
        <condense val="0"/>
        <extend val="0"/>
        <outline val="0"/>
        <shadow val="0"/>
        <u val="none"/>
        <vertAlign val="baseline"/>
        <sz val="11"/>
        <color theme="1"/>
        <name val="Calibri"/>
        <family val="2"/>
        <scheme val="minor"/>
      </font>
      <numFmt numFmtId="165" formatCode="_(* #,##0.00_);_(* \(#,##0.00\);_(* &quot;-&quot;??_);_(@_)"/>
      <fill>
        <patternFill patternType="none">
          <fgColor indexed="64"/>
          <bgColor indexed="65"/>
        </patternFill>
      </fill>
      <protection locked="0" hidden="0"/>
    </dxf>
    <dxf>
      <fill>
        <patternFill patternType="none">
          <fgColor indexed="64"/>
          <bgColor indexed="65"/>
        </patternFill>
      </fill>
      <protection locked="0" hidden="0"/>
    </dxf>
    <dxf>
      <fill>
        <patternFill patternType="none">
          <fgColor indexed="64"/>
          <bgColor indexed="65"/>
        </patternFill>
      </fill>
      <protection locked="0" hidden="0"/>
    </dxf>
    <dxf>
      <numFmt numFmtId="170" formatCode="dd/mm/yyyy"/>
      <fill>
        <patternFill patternType="none">
          <fgColor indexed="64"/>
          <bgColor auto="1"/>
        </patternFill>
      </fill>
      <protection locked="0" hidden="0"/>
    </dxf>
    <dxf>
      <fill>
        <patternFill patternType="none">
          <fgColor indexed="64"/>
          <bgColor indexed="65"/>
        </patternFill>
      </fill>
      <protection locked="0" hidden="0"/>
    </dxf>
    <dxf>
      <numFmt numFmtId="170" formatCode="dd/mm/yyyy"/>
      <fill>
        <patternFill patternType="none">
          <fgColor indexed="64"/>
          <bgColor auto="1"/>
        </patternFill>
      </fill>
      <protection locked="0" hidden="0"/>
    </dxf>
    <dxf>
      <fill>
        <patternFill patternType="none">
          <fgColor indexed="64"/>
          <bgColor indexed="65"/>
        </patternFill>
      </fill>
      <protection locked="0" hidden="0"/>
    </dxf>
    <dxf>
      <fill>
        <patternFill patternType="none">
          <fgColor indexed="64"/>
          <bgColor auto="1"/>
        </patternFill>
      </fill>
      <protection locked="0" hidden="0"/>
    </dxf>
    <dxf>
      <fill>
        <patternFill patternType="none">
          <fgColor indexed="64"/>
          <bgColor indexed="65"/>
        </patternFill>
      </fill>
      <protection locked="0" hidden="0"/>
    </dxf>
    <dxf>
      <fill>
        <patternFill patternType="none">
          <fgColor indexed="64"/>
          <bgColor auto="1"/>
        </patternFill>
      </fill>
      <protection locked="0" hidden="0"/>
    </dxf>
    <dxf>
      <numFmt numFmtId="0" formatCode="General"/>
      <fill>
        <patternFill patternType="none">
          <fgColor indexed="64"/>
          <bgColor indexed="65"/>
        </patternFill>
      </fill>
      <protection locked="0" hidden="0"/>
    </dxf>
    <dxf>
      <fill>
        <patternFill patternType="none">
          <fgColor indexed="64"/>
          <bgColor auto="1"/>
        </patternFill>
      </fill>
      <protection locked="0" hidden="0"/>
    </dxf>
    <dxf>
      <fill>
        <patternFill patternType="none">
          <fgColor indexed="64"/>
          <bgColor indexed="65"/>
        </patternFill>
      </fill>
      <protection locked="0" hidden="0"/>
    </dxf>
    <dxf>
      <fill>
        <patternFill patternType="none">
          <fgColor indexed="64"/>
          <bgColor auto="1"/>
        </patternFill>
      </fill>
      <protection locked="0" hidden="0"/>
    </dxf>
    <dxf>
      <fill>
        <patternFill patternType="none">
          <fgColor indexed="64"/>
          <bgColor indexed="65"/>
        </patternFill>
      </fill>
      <protection locked="0" hidden="0"/>
    </dxf>
    <dxf>
      <fill>
        <patternFill patternType="none">
          <fgColor indexed="64"/>
          <bgColor auto="1"/>
        </patternFill>
      </fill>
      <protection locked="0" hidden="0"/>
    </dxf>
    <dxf>
      <fill>
        <patternFill patternType="none">
          <fgColor indexed="64"/>
          <bgColor indexed="65"/>
        </patternFill>
      </fill>
      <protection locked="0" hidden="0"/>
    </dxf>
    <dxf>
      <numFmt numFmtId="1" formatCode="0"/>
      <fill>
        <patternFill patternType="none">
          <fgColor indexed="64"/>
          <bgColor auto="1"/>
        </patternFill>
      </fill>
      <protection locked="0" hidden="0"/>
    </dxf>
    <dxf>
      <fill>
        <patternFill patternType="none">
          <fgColor indexed="64"/>
          <bgColor indexed="65"/>
        </patternFill>
      </fill>
      <protection locked="0" hidden="0"/>
    </dxf>
    <dxf>
      <fill>
        <patternFill patternType="none">
          <fgColor indexed="64"/>
          <bgColor auto="1"/>
        </patternFill>
      </fill>
      <protection locked="0" hidden="0"/>
    </dxf>
    <dxf>
      <fill>
        <patternFill patternType="none">
          <fgColor indexed="64"/>
          <bgColor indexed="65"/>
        </patternFill>
      </fill>
      <protection locked="0" hidden="0"/>
    </dxf>
    <dxf>
      <fill>
        <patternFill patternType="none">
          <fgColor indexed="64"/>
          <bgColor auto="1"/>
        </patternFill>
      </fill>
      <protection locked="0" hidden="0"/>
    </dxf>
    <dxf>
      <fill>
        <patternFill patternType="none">
          <fgColor indexed="64"/>
          <bgColor indexed="65"/>
        </patternFill>
      </fill>
      <protection locked="0" hidden="0"/>
    </dxf>
    <dxf>
      <fill>
        <patternFill patternType="none">
          <fgColor indexed="64"/>
          <bgColor auto="1"/>
        </patternFill>
      </fill>
      <protection locked="0" hidden="0"/>
    </dxf>
    <dxf>
      <fill>
        <patternFill patternType="none">
          <fgColor indexed="64"/>
          <bgColor auto="1"/>
        </patternFill>
      </fill>
      <protection locked="1" hidden="1"/>
    </dxf>
    <dxf>
      <fill>
        <patternFill patternType="none">
          <fgColor indexed="64"/>
          <bgColor auto="1"/>
        </patternFill>
      </fill>
      <alignment horizontal="center" vertical="center" textRotation="0" indent="0" justifyLastLine="0" shrinkToFit="0" readingOrder="0"/>
      <protection locked="1" hidden="1"/>
    </dxf>
    <dxf>
      <fill>
        <patternFill patternType="solid">
          <fgColor indexed="64"/>
          <bgColor theme="0" tint="-0.249977111117893"/>
        </patternFill>
      </fill>
      <border diagonalUp="0" diagonalDown="0" outline="0">
        <left/>
        <right/>
        <top/>
        <bottom/>
      </border>
      <protection locked="1" hidden="1"/>
    </dxf>
    <dxf>
      <fill>
        <patternFill patternType="solid">
          <fgColor indexed="64"/>
          <bgColor theme="0" tint="-0.14999847407452621"/>
        </patternFill>
      </fill>
      <border diagonalUp="0" diagonalDown="0" outline="0">
        <left/>
        <right/>
        <top style="dashed">
          <color auto="1"/>
        </top>
        <bottom style="dashed">
          <color auto="1"/>
        </bottom>
      </border>
      <protection locked="1" hidden="1"/>
    </dxf>
    <dxf>
      <fill>
        <patternFill patternType="none">
          <fgColor indexed="64"/>
          <bgColor indexed="65"/>
        </patternFill>
      </fill>
      <protection locked="0" hidden="0"/>
    </dxf>
    <dxf>
      <fill>
        <patternFill patternType="solid">
          <fgColor indexed="64"/>
          <bgColor theme="5" tint="0.59999389629810485"/>
        </patternFill>
      </fill>
      <border diagonalUp="0" diagonalDown="0" outline="0">
        <left/>
        <right/>
        <top style="dashed">
          <color auto="1"/>
        </top>
        <bottom style="dashed">
          <color auto="1"/>
        </bottom>
      </border>
      <protection locked="0" hidden="0"/>
    </dxf>
    <dxf>
      <fill>
        <patternFill patternType="none">
          <fgColor indexed="64"/>
          <bgColor indexed="65"/>
        </patternFill>
      </fill>
      <protection locked="1" hidden="1"/>
    </dxf>
    <dxf>
      <numFmt numFmtId="168" formatCode="#,##0.00\ &quot;€&quot;"/>
      <fill>
        <patternFill patternType="solid">
          <fgColor indexed="64"/>
          <bgColor theme="0" tint="-0.14999847407452621"/>
        </patternFill>
      </fill>
      <border diagonalUp="0" diagonalDown="0">
        <left/>
        <right/>
        <top style="dashed">
          <color auto="1"/>
        </top>
        <bottom style="dashed">
          <color auto="1"/>
        </bottom>
        <vertical/>
        <horizontal/>
      </border>
      <protection locked="1" hidden="1"/>
    </dxf>
    <dxf>
      <fill>
        <patternFill patternType="none">
          <fgColor indexed="64"/>
          <bgColor indexed="65"/>
        </patternFill>
      </fill>
      <protection locked="1" hidden="1"/>
    </dxf>
    <dxf>
      <numFmt numFmtId="168" formatCode="#,##0.00\ &quot;€&quot;"/>
      <fill>
        <patternFill patternType="solid">
          <fgColor indexed="64"/>
          <bgColor theme="0" tint="-0.14999847407452621"/>
        </patternFill>
      </fill>
      <border diagonalUp="0" diagonalDown="0" outline="0">
        <left/>
        <right/>
        <top style="dashed">
          <color auto="1"/>
        </top>
        <bottom style="dashed">
          <color auto="1"/>
        </bottom>
      </border>
      <protection locked="1" hidden="1"/>
    </dxf>
    <dxf>
      <fill>
        <patternFill patternType="none">
          <fgColor indexed="64"/>
          <bgColor indexed="65"/>
        </patternFill>
      </fill>
      <protection locked="1" hidden="1"/>
    </dxf>
    <dxf>
      <numFmt numFmtId="168" formatCode="#,##0.00\ &quot;€&quot;"/>
      <fill>
        <patternFill patternType="solid">
          <fgColor indexed="64"/>
          <bgColor theme="0" tint="-0.14999847407452621"/>
        </patternFill>
      </fill>
      <border diagonalUp="0" diagonalDown="0" outline="0">
        <left/>
        <right/>
        <top style="dashed">
          <color auto="1"/>
        </top>
        <bottom style="dashed">
          <color auto="1"/>
        </bottom>
      </border>
      <protection locked="1" hidden="1"/>
    </dxf>
    <dxf>
      <fill>
        <patternFill patternType="none">
          <fgColor indexed="64"/>
          <bgColor indexed="65"/>
        </patternFill>
      </fill>
      <protection locked="0" hidden="0"/>
    </dxf>
    <dxf>
      <fill>
        <patternFill patternType="none">
          <fgColor indexed="64"/>
          <bgColor auto="1"/>
        </patternFill>
      </fill>
      <border diagonalUp="0" diagonalDown="0" outline="0">
        <left/>
        <right/>
        <top style="dashed">
          <color auto="1"/>
        </top>
        <bottom style="dashed">
          <color auto="1"/>
        </bottom>
      </border>
      <protection locked="0" hidden="0"/>
    </dxf>
    <dxf>
      <fill>
        <patternFill patternType="none">
          <fgColor indexed="64"/>
          <bgColor indexed="65"/>
        </patternFill>
      </fill>
      <protection locked="0" hidden="0"/>
    </dxf>
    <dxf>
      <fill>
        <patternFill patternType="none">
          <fgColor indexed="64"/>
          <bgColor auto="1"/>
        </patternFill>
      </fill>
      <protection locked="0" hidden="0"/>
    </dxf>
    <dxf>
      <numFmt numFmtId="165" formatCode="_(* #,##0.00_);_(* \(#,##0.00\);_(* &quot;-&quot;??_);_(@_)"/>
      <fill>
        <patternFill patternType="none">
          <fgColor indexed="64"/>
          <bgColor indexed="65"/>
        </patternFill>
      </fill>
      <protection locked="0" hidden="0"/>
    </dxf>
    <dxf>
      <numFmt numFmtId="164" formatCode="_(&quot;€&quot;* #,##0.00_);_(&quot;€&quot;* \(#,##0.00\);_(&quot;€&quot;* &quot;-&quot;??_);_(@_)"/>
      <fill>
        <patternFill patternType="solid">
          <fgColor indexed="64"/>
          <bgColor theme="0" tint="-0.14999847407452621"/>
        </patternFill>
      </fill>
      <border diagonalUp="0" diagonalDown="0">
        <left/>
        <right/>
        <top style="dashed">
          <color auto="1"/>
        </top>
        <bottom style="dashed">
          <color auto="1"/>
        </bottom>
      </border>
      <protection locked="1" hidden="1"/>
    </dxf>
    <dxf>
      <numFmt numFmtId="165" formatCode="_(* #,##0.00_);_(* \(#,##0.00\);_(* &quot;-&quot;??_);_(@_)"/>
      <fill>
        <patternFill patternType="none">
          <fgColor indexed="64"/>
          <bgColor indexed="65"/>
        </patternFill>
      </fill>
      <protection locked="0" hidden="0"/>
    </dxf>
    <dxf>
      <fill>
        <patternFill patternType="none">
          <fgColor indexed="64"/>
          <bgColor auto="1"/>
        </patternFill>
      </fill>
      <protection locked="0" hidden="0"/>
    </dxf>
    <dxf>
      <numFmt numFmtId="165" formatCode="_(* #,##0.00_);_(* \(#,##0.00\);_(* &quot;-&quot;??_);_(@_)"/>
      <fill>
        <patternFill patternType="none">
          <fgColor indexed="64"/>
          <bgColor indexed="65"/>
        </patternFill>
      </fill>
      <protection locked="0" hidden="0"/>
    </dxf>
    <dxf>
      <numFmt numFmtId="164" formatCode="_(&quot;€&quot;* #,##0.00_);_(&quot;€&quot;* \(#,##0.00\);_(&quot;€&quot;* &quot;-&quot;??_);_(@_)"/>
      <fill>
        <patternFill patternType="solid">
          <fgColor indexed="64"/>
          <bgColor theme="0" tint="-0.14999847407452621"/>
        </patternFill>
      </fill>
      <border diagonalUp="0" diagonalDown="0">
        <left/>
        <right/>
        <top style="dashed">
          <color auto="1"/>
        </top>
        <bottom style="dashed">
          <color auto="1"/>
        </bottom>
      </border>
      <protection locked="1" hidden="1"/>
    </dxf>
    <dxf>
      <numFmt numFmtId="165" formatCode="_(* #,##0.00_);_(* \(#,##0.00\);_(* &quot;-&quot;??_);_(@_)"/>
      <fill>
        <patternFill patternType="none">
          <fgColor indexed="64"/>
          <bgColor indexed="65"/>
        </patternFill>
      </fill>
      <protection locked="0" hidden="0"/>
    </dxf>
    <dxf>
      <fill>
        <patternFill patternType="none">
          <fgColor indexed="64"/>
          <bgColor auto="1"/>
        </patternFill>
      </fill>
      <protection locked="0" hidden="0"/>
    </dxf>
    <dxf>
      <numFmt numFmtId="165" formatCode="_(* #,##0.00_);_(* \(#,##0.00\);_(* &quot;-&quot;??_);_(@_)"/>
      <fill>
        <patternFill patternType="none">
          <fgColor indexed="64"/>
          <bgColor indexed="65"/>
        </patternFill>
      </fill>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protection locked="0" hidden="0"/>
    </dxf>
    <dxf>
      <numFmt numFmtId="165" formatCode="_(* #,##0.00_);_(* \(#,##0.00\);_(* &quot;-&quot;??_);_(@_)"/>
      <fill>
        <patternFill patternType="none">
          <fgColor indexed="64"/>
          <bgColor indexed="65"/>
        </patternFill>
      </fill>
      <protection locked="0" hidden="0"/>
    </dxf>
    <dxf>
      <fill>
        <patternFill patternType="none">
          <fgColor indexed="64"/>
          <bgColor auto="1"/>
        </patternFill>
      </fill>
      <protection locked="0" hidden="0"/>
    </dxf>
    <dxf>
      <numFmt numFmtId="165" formatCode="_(* #,##0.00_);_(* \(#,##0.00\);_(* &quot;-&quot;??_);_(@_)"/>
      <fill>
        <patternFill patternType="none">
          <fgColor indexed="64"/>
          <bgColor indexed="65"/>
        </patternFill>
      </fill>
      <protection locked="0" hidden="0"/>
    </dxf>
    <dxf>
      <fill>
        <patternFill patternType="none">
          <fgColor indexed="64"/>
          <bgColor auto="1"/>
        </patternFill>
      </fill>
      <protection locked="0" hidden="0"/>
    </dxf>
    <dxf>
      <numFmt numFmtId="165" formatCode="_(* #,##0.00_);_(* \(#,##0.00\);_(* &quot;-&quot;??_);_(@_)"/>
      <fill>
        <patternFill patternType="none">
          <fgColor indexed="64"/>
          <bgColor indexed="65"/>
        </patternFill>
      </fill>
      <protection locked="0" hidden="0"/>
    </dxf>
    <dxf>
      <fill>
        <patternFill patternType="none">
          <fgColor indexed="64"/>
          <bgColor auto="1"/>
        </patternFill>
      </fill>
      <protection locked="0" hidden="0"/>
    </dxf>
    <dxf>
      <numFmt numFmtId="165" formatCode="_(* #,##0.00_);_(* \(#,##0.00\);_(* &quot;-&quot;??_);_(@_)"/>
      <fill>
        <patternFill patternType="none">
          <fgColor indexed="64"/>
          <bgColor indexed="65"/>
        </patternFill>
      </fill>
      <protection locked="0" hidden="0"/>
    </dxf>
    <dxf>
      <fill>
        <patternFill patternType="none">
          <fgColor indexed="64"/>
          <bgColor auto="1"/>
        </patternFill>
      </fill>
      <protection locked="0" hidden="0"/>
    </dxf>
    <dxf>
      <numFmt numFmtId="165" formatCode="_(* #,##0.00_);_(* \(#,##0.00\);_(* &quot;-&quot;??_);_(@_)"/>
      <fill>
        <patternFill patternType="none">
          <fgColor indexed="64"/>
          <bgColor indexed="65"/>
        </patternFill>
      </fill>
      <protection locked="0" hidden="0"/>
    </dxf>
    <dxf>
      <fill>
        <patternFill patternType="none">
          <fgColor indexed="64"/>
          <bgColor auto="1"/>
        </patternFill>
      </fill>
      <protection locked="0" hidden="0"/>
    </dxf>
    <dxf>
      <numFmt numFmtId="165" formatCode="_(* #,##0.00_);_(* \(#,##0.00\);_(* &quot;-&quot;??_);_(@_)"/>
      <fill>
        <patternFill patternType="none">
          <fgColor indexed="64"/>
          <bgColor indexed="65"/>
        </patternFill>
      </fill>
      <protection locked="0" hidden="0"/>
    </dxf>
    <dxf>
      <fill>
        <patternFill patternType="none">
          <fgColor indexed="64"/>
          <bgColor auto="1"/>
        </patternFill>
      </fill>
      <protection locked="0" hidden="0"/>
    </dxf>
    <dxf>
      <numFmt numFmtId="165" formatCode="_(* #,##0.00_);_(* \(#,##0.00\);_(* &quot;-&quot;??_);_(@_)"/>
      <fill>
        <patternFill patternType="none">
          <fgColor indexed="64"/>
          <bgColor indexed="65"/>
        </patternFill>
      </fill>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protection locked="0" hidden="0"/>
    </dxf>
    <dxf>
      <numFmt numFmtId="165" formatCode="_(* #,##0.00_);_(* \(#,##0.00\);_(* &quot;-&quot;??_);_(@_)"/>
      <fill>
        <patternFill patternType="none">
          <fgColor indexed="64"/>
          <bgColor indexed="65"/>
        </patternFill>
      </fill>
      <protection locked="0" hidden="0"/>
    </dxf>
    <dxf>
      <fill>
        <patternFill patternType="none">
          <fgColor indexed="64"/>
          <bgColor auto="1"/>
        </patternFill>
      </fill>
      <protection locked="0" hidden="0"/>
    </dxf>
    <dxf>
      <numFmt numFmtId="165" formatCode="_(* #,##0.00_);_(* \(#,##0.00\);_(* &quot;-&quot;??_);_(@_)"/>
      <fill>
        <patternFill patternType="solid">
          <fgColor indexed="64"/>
          <bgColor theme="0" tint="-0.249977111117893"/>
        </patternFill>
      </fill>
      <border diagonalUp="0" diagonalDown="0" outline="0">
        <left/>
        <right/>
        <top/>
        <bottom/>
      </border>
      <protection locked="1" hidden="1"/>
    </dxf>
    <dxf>
      <numFmt numFmtId="165" formatCode="_(* #,##0.00_);_(* \(#,##0.00\);_(* &quot;-&quot;??_);_(@_)"/>
      <fill>
        <patternFill patternType="solid">
          <fgColor indexed="64"/>
          <bgColor theme="0" tint="-0.14999847407452621"/>
        </patternFill>
      </fill>
      <border diagonalUp="0" diagonalDown="0">
        <left/>
        <right/>
        <top style="dashed">
          <color auto="1"/>
        </top>
        <bottom style="dashed">
          <color auto="1"/>
        </bottom>
      </border>
      <protection locked="1" hidden="1"/>
    </dxf>
    <dxf>
      <numFmt numFmtId="165" formatCode="_(* #,##0.00_);_(* \(#,##0.00\);_(* &quot;-&quot;??_);_(@_)"/>
      <fill>
        <patternFill patternType="none">
          <fgColor indexed="64"/>
          <bgColor indexed="65"/>
        </patternFill>
      </fill>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protection locked="0" hidden="0"/>
    </dxf>
    <dxf>
      <numFmt numFmtId="165" formatCode="_(* #,##0.00_);_(* \(#,##0.00\);_(* &quot;-&quot;??_);_(@_)"/>
      <fill>
        <patternFill patternType="none">
          <fgColor indexed="64"/>
          <bgColor indexed="65"/>
        </patternFill>
      </fill>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protection locked="0" hidden="0"/>
    </dxf>
    <dxf>
      <numFmt numFmtId="165" formatCode="_(* #,##0.00_);_(* \(#,##0.00\);_(* &quot;-&quot;??_);_(@_)"/>
      <fill>
        <patternFill patternType="none">
          <fgColor indexed="64"/>
          <bgColor indexed="65"/>
        </patternFill>
      </fill>
      <protection locked="0" hidden="0"/>
    </dxf>
    <dxf>
      <fill>
        <patternFill patternType="none">
          <fgColor indexed="64"/>
          <bgColor auto="1"/>
        </patternFill>
      </fill>
      <protection locked="0" hidden="0"/>
    </dxf>
    <dxf>
      <fill>
        <patternFill patternType="none">
          <fgColor indexed="64"/>
          <bgColor indexed="65"/>
        </patternFill>
      </fill>
      <protection locked="0" hidden="0"/>
    </dxf>
    <dxf>
      <numFmt numFmtId="170" formatCode="dd/mm/yyyy"/>
      <fill>
        <patternFill patternType="none">
          <fgColor indexed="64"/>
          <bgColor auto="1"/>
        </patternFill>
      </fill>
      <protection locked="0" hidden="0"/>
    </dxf>
    <dxf>
      <fill>
        <patternFill patternType="none">
          <fgColor indexed="64"/>
          <bgColor indexed="65"/>
        </patternFill>
      </fill>
      <protection locked="0" hidden="0"/>
    </dxf>
    <dxf>
      <numFmt numFmtId="170" formatCode="dd/mm/yyyy"/>
      <fill>
        <patternFill patternType="none">
          <fgColor indexed="64"/>
          <bgColor auto="1"/>
        </patternFill>
      </fill>
      <protection locked="0" hidden="0"/>
    </dxf>
    <dxf>
      <fill>
        <patternFill patternType="none">
          <fgColor indexed="64"/>
          <bgColor indexed="65"/>
        </patternFill>
      </fill>
      <protection locked="0" hidden="0"/>
    </dxf>
    <dxf>
      <fill>
        <patternFill patternType="none">
          <fgColor indexed="64"/>
          <bgColor auto="1"/>
        </patternFill>
      </fill>
      <protection locked="0" hidden="0"/>
    </dxf>
    <dxf>
      <fill>
        <patternFill patternType="none">
          <fgColor indexed="64"/>
          <bgColor indexed="65"/>
        </patternFill>
      </fill>
      <protection locked="0" hidden="0"/>
    </dxf>
    <dxf>
      <fill>
        <patternFill patternType="none">
          <fgColor indexed="64"/>
          <bgColor auto="1"/>
        </patternFill>
      </fill>
      <protection locked="0" hidden="0"/>
    </dxf>
    <dxf>
      <fill>
        <patternFill patternType="none">
          <fgColor indexed="64"/>
          <bgColor indexed="65"/>
        </patternFill>
      </fill>
      <protection locked="0" hidden="0"/>
    </dxf>
    <dxf>
      <fill>
        <patternFill patternType="none">
          <fgColor indexed="64"/>
          <bgColor auto="1"/>
        </patternFill>
      </fill>
      <protection locked="0" hidden="0"/>
    </dxf>
    <dxf>
      <fill>
        <patternFill patternType="none">
          <fgColor indexed="64"/>
          <bgColor indexed="65"/>
        </patternFill>
      </fill>
      <protection locked="0" hidden="0"/>
    </dxf>
    <dxf>
      <numFmt numFmtId="1" formatCode="0"/>
      <fill>
        <patternFill patternType="none">
          <fgColor indexed="64"/>
          <bgColor auto="1"/>
        </patternFill>
      </fill>
      <protection locked="0" hidden="0"/>
    </dxf>
    <dxf>
      <fill>
        <patternFill patternType="none">
          <fgColor indexed="64"/>
          <bgColor indexed="65"/>
        </patternFill>
      </fill>
      <protection locked="0" hidden="0"/>
    </dxf>
    <dxf>
      <fill>
        <patternFill patternType="none">
          <fgColor indexed="64"/>
          <bgColor auto="1"/>
        </patternFill>
      </fill>
      <protection locked="0" hidden="0"/>
    </dxf>
    <dxf>
      <fill>
        <patternFill patternType="none">
          <fgColor indexed="64"/>
          <bgColor indexed="65"/>
        </patternFill>
      </fill>
      <protection locked="0" hidden="0"/>
    </dxf>
    <dxf>
      <fill>
        <patternFill patternType="none">
          <fgColor indexed="64"/>
          <bgColor auto="1"/>
        </patternFill>
      </fill>
      <protection locked="0" hidden="0"/>
    </dxf>
    <dxf>
      <fill>
        <patternFill patternType="none">
          <fgColor indexed="64"/>
          <bgColor indexed="65"/>
        </patternFill>
      </fill>
      <protection locked="0" hidden="0"/>
    </dxf>
    <dxf>
      <fill>
        <patternFill patternType="none">
          <fgColor indexed="64"/>
          <bgColor auto="1"/>
        </patternFill>
      </fill>
      <protection locked="0" hidden="0"/>
    </dxf>
    <dxf>
      <fill>
        <patternFill patternType="none">
          <fgColor indexed="64"/>
          <bgColor auto="1"/>
        </patternFill>
      </fill>
      <protection locked="1" hidden="1"/>
    </dxf>
    <dxf>
      <fill>
        <patternFill patternType="none">
          <fgColor indexed="64"/>
          <bgColor auto="1"/>
        </patternFill>
      </fill>
      <alignment horizontal="center" vertical="center" textRotation="0" indent="0" justifyLastLine="0" shrinkToFit="0" readingOrder="0"/>
      <protection locked="1" hidden="1"/>
    </dxf>
    <dxf>
      <fill>
        <patternFill patternType="solid">
          <fgColor indexed="64"/>
          <bgColor theme="0" tint="-0.249977111117893"/>
        </patternFill>
      </fill>
      <border diagonalUp="0" diagonalDown="0" outline="0">
        <left style="dashed">
          <color auto="1"/>
        </left>
        <right/>
        <top/>
        <bottom/>
      </border>
      <protection locked="1" hidden="1"/>
    </dxf>
    <dxf>
      <fill>
        <patternFill patternType="solid">
          <fgColor indexed="64"/>
          <bgColor theme="5" tint="0.59999389629810485"/>
        </patternFill>
      </fill>
      <protection locked="0" hidden="0"/>
    </dxf>
    <dxf>
      <fill>
        <patternFill patternType="solid">
          <fgColor indexed="64"/>
          <bgColor theme="0" tint="-0.249977111117893"/>
        </patternFill>
      </fill>
      <protection locked="1" hidden="1"/>
    </dxf>
    <dxf>
      <fill>
        <patternFill patternType="solid">
          <fgColor indexed="64"/>
          <bgColor theme="0" tint="-0.14999847407452621"/>
        </patternFill>
      </fill>
      <border>
        <right style="dashed">
          <color auto="1"/>
        </right>
      </border>
      <protection locked="0" hidden="0"/>
    </dxf>
    <dxf>
      <fill>
        <patternFill patternType="solid">
          <fgColor indexed="64"/>
          <bgColor theme="0" tint="-0.249977111117893"/>
        </patternFill>
      </fill>
      <protection locked="1" hidden="1"/>
    </dxf>
    <dxf>
      <fill>
        <patternFill patternType="solid">
          <fgColor indexed="64"/>
          <bgColor theme="0" tint="-0.14999847407452621"/>
        </patternFill>
      </fill>
      <protection locked="0" hidden="0"/>
    </dxf>
    <dxf>
      <numFmt numFmtId="168" formatCode="#,##0.00\ &quot;€&quot;"/>
      <fill>
        <patternFill patternType="none">
          <fgColor indexed="64"/>
          <bgColor indexed="65"/>
        </patternFill>
      </fill>
      <protection locked="1" hidden="1"/>
    </dxf>
    <dxf>
      <numFmt numFmtId="168" formatCode="#,##0.00\ &quot;€&quot;"/>
      <fill>
        <patternFill patternType="none">
          <fgColor indexed="64"/>
          <bgColor auto="1"/>
        </patternFill>
      </fill>
      <protection locked="0" hidden="0"/>
    </dxf>
    <dxf>
      <fill>
        <patternFill patternType="none">
          <fgColor indexed="64"/>
          <bgColor indexed="65"/>
        </patternFill>
      </fill>
      <protection locked="1" hidden="1"/>
    </dxf>
    <dxf>
      <fill>
        <patternFill patternType="none">
          <fgColor indexed="64"/>
          <bgColor auto="1"/>
        </patternFill>
      </fill>
      <protection locked="0" hidden="0"/>
    </dxf>
    <dxf>
      <fill>
        <patternFill patternType="none">
          <fgColor indexed="64"/>
          <bgColor indexed="65"/>
        </patternFill>
      </fill>
      <protection locked="1" hidden="1"/>
    </dxf>
    <dxf>
      <fill>
        <patternFill patternType="none">
          <fgColor indexed="64"/>
          <bgColor auto="1"/>
        </patternFill>
      </fill>
      <protection locked="0" hidden="0"/>
    </dxf>
    <dxf>
      <protection locked="1" hidden="1"/>
    </dxf>
    <dxf>
      <fill>
        <patternFill patternType="none">
          <fgColor indexed="64"/>
          <bgColor auto="1"/>
        </patternFill>
      </fill>
      <protection locked="0" hidden="0"/>
    </dxf>
    <dxf>
      <fill>
        <patternFill patternType="none">
          <fgColor indexed="64"/>
          <bgColor auto="1"/>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11"/>
        <color theme="1"/>
        <name val="Calibri"/>
        <family val="2"/>
        <scheme val="minor"/>
      </font>
      <numFmt numFmtId="165" formatCode="_(* #,##0.00_);_(* \(#,##0.00\);_(* &quot;-&quot;??_);_(@_)"/>
      <fill>
        <patternFill patternType="solid">
          <fgColor indexed="64"/>
          <bgColor theme="0" tint="-0.249977111117893"/>
        </patternFill>
      </fill>
      <protection locked="1" hidden="1"/>
    </dxf>
    <dxf>
      <fill>
        <patternFill patternType="solid">
          <fgColor indexed="64"/>
          <bgColor theme="0" tint="-0.14999847407452621"/>
        </patternFill>
      </fill>
      <protection locked="1" hidden="1"/>
    </dxf>
    <dxf>
      <fill>
        <patternFill patternType="none">
          <fgColor indexed="64"/>
          <bgColor indexed="65"/>
        </patternFill>
      </fill>
      <protection locked="1" hidden="1"/>
    </dxf>
    <dxf>
      <fill>
        <patternFill patternType="none">
          <fgColor indexed="64"/>
          <bgColor auto="1"/>
        </patternFill>
      </fill>
      <protection locked="0" hidden="0"/>
    </dxf>
    <dxf>
      <fill>
        <patternFill patternType="none">
          <fgColor indexed="64"/>
          <bgColor indexed="65"/>
        </patternFill>
      </fill>
      <protection locked="1" hidden="1"/>
    </dxf>
    <dxf>
      <numFmt numFmtId="170" formatCode="dd/mm/yyyy"/>
      <fill>
        <patternFill patternType="none">
          <fgColor indexed="64"/>
          <bgColor auto="1"/>
        </patternFill>
      </fill>
      <protection locked="0" hidden="0"/>
    </dxf>
    <dxf>
      <fill>
        <patternFill patternType="none">
          <fgColor indexed="64"/>
          <bgColor indexed="65"/>
        </patternFill>
      </fill>
      <protection locked="1" hidden="1"/>
    </dxf>
    <dxf>
      <numFmt numFmtId="170" formatCode="dd/mm/yyyy"/>
      <fill>
        <patternFill patternType="none">
          <fgColor indexed="64"/>
          <bgColor auto="1"/>
        </patternFill>
      </fill>
      <protection locked="0" hidden="0"/>
    </dxf>
    <dxf>
      <fill>
        <patternFill patternType="none">
          <fgColor indexed="64"/>
          <bgColor indexed="65"/>
        </patternFill>
      </fill>
      <protection locked="1" hidden="1"/>
    </dxf>
    <dxf>
      <fill>
        <patternFill patternType="none">
          <fgColor indexed="64"/>
          <bgColor indexed="65"/>
        </patternFill>
      </fill>
      <protection locked="0" hidden="0"/>
    </dxf>
    <dxf>
      <fill>
        <patternFill patternType="none">
          <fgColor indexed="64"/>
          <bgColor indexed="65"/>
        </patternFill>
      </fill>
      <protection locked="1" hidden="1"/>
    </dxf>
    <dxf>
      <fill>
        <patternFill patternType="none">
          <fgColor indexed="64"/>
          <bgColor auto="1"/>
        </patternFill>
      </fill>
      <protection locked="0" hidden="0"/>
    </dxf>
    <dxf>
      <fill>
        <patternFill patternType="none">
          <fgColor indexed="64"/>
          <bgColor indexed="65"/>
        </patternFill>
      </fill>
      <protection locked="1" hidden="1"/>
    </dxf>
    <dxf>
      <fill>
        <patternFill patternType="none">
          <fgColor indexed="64"/>
          <bgColor auto="1"/>
        </patternFill>
      </fill>
      <protection locked="1" hidden="1"/>
    </dxf>
    <dxf>
      <protection locked="1" hidden="1"/>
    </dxf>
    <dxf>
      <fill>
        <patternFill patternType="none">
          <fgColor indexed="64"/>
          <bgColor auto="1"/>
        </patternFill>
      </fill>
      <protection locked="1" hidden="1"/>
    </dxf>
    <dxf>
      <fill>
        <patternFill patternType="none">
          <fgColor indexed="64"/>
          <bgColor auto="1"/>
        </patternFill>
      </fill>
      <alignment horizontal="center" vertical="center" textRotation="0" indent="0" justifyLastLine="0" shrinkToFit="0" readingOrder="0"/>
      <protection locked="1" hidden="1"/>
    </dxf>
    <dxf>
      <font>
        <b val="0"/>
        <i val="0"/>
        <strike val="0"/>
        <condense val="0"/>
        <extend val="0"/>
        <outline val="0"/>
        <shadow val="0"/>
        <u val="none"/>
        <vertAlign val="baseline"/>
        <sz val="11"/>
        <color theme="1"/>
        <name val="Calibri"/>
        <family val="2"/>
        <scheme val="minor"/>
      </font>
      <numFmt numFmtId="165" formatCode="_(* #,##0.00_);_(* \(#,##0.00\);_(* &quot;-&quot;??_);_(@_)"/>
      <fill>
        <patternFill patternType="none">
          <fgColor indexed="64"/>
          <bgColor indexed="65"/>
        </patternFill>
      </fill>
      <protection locked="1" hidden="1"/>
    </dxf>
    <dxf>
      <fill>
        <patternFill patternType="solid">
          <fgColor indexed="64"/>
          <bgColor theme="0" tint="-0.14999847407452621"/>
        </patternFill>
      </fill>
      <protection locked="1" hidden="1"/>
    </dxf>
    <dxf>
      <fill>
        <patternFill patternType="none">
          <fgColor indexed="64"/>
          <bgColor indexed="65"/>
        </patternFill>
      </fill>
      <alignment horizontal="center" vertical="bottom" textRotation="0" wrapText="0" indent="0" justifyLastLine="0" shrinkToFit="0" readingOrder="0"/>
      <protection locked="1" hidden="1"/>
    </dxf>
    <dxf>
      <numFmt numFmtId="170" formatCode="dd/mm/yyyy"/>
      <fill>
        <patternFill patternType="none">
          <fgColor indexed="64"/>
          <bgColor auto="1"/>
        </patternFill>
      </fill>
      <alignment horizontal="center" vertical="bottom" textRotation="0" wrapText="0" indent="0" justifyLastLine="0" shrinkToFit="0" readingOrder="0"/>
      <protection locked="0" hidden="0"/>
    </dxf>
    <dxf>
      <fill>
        <patternFill patternType="none">
          <fgColor indexed="64"/>
          <bgColor indexed="65"/>
        </patternFill>
      </fill>
      <alignment horizontal="center" vertical="bottom" textRotation="0" wrapText="0" indent="0" justifyLastLine="0" shrinkToFit="0" readingOrder="0"/>
      <protection locked="1" hidden="1"/>
    </dxf>
    <dxf>
      <numFmt numFmtId="170" formatCode="dd/mm/yyyy"/>
      <fill>
        <patternFill patternType="none">
          <fgColor indexed="64"/>
          <bgColor auto="1"/>
        </patternFill>
      </fill>
      <alignment horizontal="center" vertical="bottom" textRotation="0" wrapText="0" indent="0" justifyLastLine="0" shrinkToFit="0" readingOrder="0"/>
      <protection locked="0" hidden="0"/>
    </dxf>
    <dxf>
      <fill>
        <patternFill patternType="none">
          <fgColor indexed="64"/>
          <bgColor indexed="65"/>
        </patternFill>
      </fill>
      <protection locked="1" hidden="1"/>
    </dxf>
    <dxf>
      <fill>
        <patternFill patternType="none">
          <fgColor indexed="64"/>
          <bgColor auto="1"/>
        </patternFill>
      </fill>
      <protection locked="0" hidden="0"/>
    </dxf>
    <dxf>
      <fill>
        <patternFill patternType="none">
          <fgColor indexed="64"/>
          <bgColor indexed="65"/>
        </patternFill>
      </fill>
      <protection locked="1" hidden="1"/>
    </dxf>
    <dxf>
      <fill>
        <patternFill patternType="none">
          <fgColor indexed="64"/>
          <bgColor auto="1"/>
        </patternFill>
      </fill>
      <protection locked="1" hidden="1"/>
    </dxf>
    <dxf>
      <protection locked="1" hidden="1"/>
    </dxf>
    <dxf>
      <fill>
        <patternFill patternType="none">
          <fgColor indexed="64"/>
          <bgColor auto="1"/>
        </patternFill>
      </fill>
      <protection locked="1" hidden="1"/>
    </dxf>
    <dxf>
      <fill>
        <patternFill patternType="none">
          <fgColor indexed="64"/>
          <bgColor auto="1"/>
        </patternFill>
      </fill>
      <alignment horizontal="center" vertical="bottom" textRotation="0" wrapText="0" indent="0" justifyLastLine="0" shrinkToFit="0" readingOrder="0"/>
      <protection locked="1" hidden="1"/>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numFmt numFmtId="165" formatCode="_(* #,##0.00_);_(* \(#,##0.00\);_(* &quot;-&quot;??_);_(@_)"/>
      <fill>
        <patternFill patternType="solid">
          <fgColor indexed="64"/>
          <bgColor theme="0" tint="-0.249977111117893"/>
        </patternFill>
      </fill>
      <protection locked="1" hidden="1"/>
    </dxf>
    <dxf>
      <fill>
        <patternFill patternType="solid">
          <fgColor indexed="64"/>
          <bgColor theme="0" tint="-0.14999847407452621"/>
        </patternFill>
      </fill>
      <protection locked="1" hidden="1"/>
    </dxf>
    <dxf>
      <fill>
        <patternFill patternType="none">
          <fgColor indexed="64"/>
          <bgColor indexed="65"/>
        </patternFill>
      </fill>
      <protection locked="1" hidden="1"/>
    </dxf>
    <dxf>
      <numFmt numFmtId="170" formatCode="dd/mm/yyyy"/>
      <fill>
        <patternFill patternType="none">
          <fgColor indexed="64"/>
          <bgColor auto="1"/>
        </patternFill>
      </fill>
      <protection locked="0" hidden="0"/>
    </dxf>
    <dxf>
      <fill>
        <patternFill patternType="none">
          <fgColor indexed="64"/>
          <bgColor indexed="65"/>
        </patternFill>
      </fill>
      <protection locked="1" hidden="1"/>
    </dxf>
    <dxf>
      <fill>
        <patternFill patternType="none">
          <fgColor indexed="64"/>
          <bgColor auto="1"/>
        </patternFill>
      </fill>
      <protection locked="0" hidden="0"/>
    </dxf>
    <dxf>
      <numFmt numFmtId="165" formatCode="_(* #,##0.00_);_(* \(#,##0.00\);_(* &quot;-&quot;??_);_(@_)"/>
      <fill>
        <patternFill patternType="none">
          <fgColor indexed="64"/>
          <bgColor indexed="65"/>
        </patternFill>
      </fill>
      <protection locked="1" hidden="1"/>
    </dxf>
    <dxf>
      <fill>
        <patternFill patternType="none">
          <fgColor indexed="64"/>
          <bgColor auto="1"/>
        </patternFill>
      </fill>
      <protection locked="0" hidden="0"/>
    </dxf>
    <dxf>
      <fill>
        <patternFill patternType="none">
          <fgColor indexed="64"/>
          <bgColor indexed="65"/>
        </patternFill>
      </fill>
      <protection locked="1" hidden="1"/>
    </dxf>
    <dxf>
      <fill>
        <patternFill patternType="none">
          <fgColor indexed="64"/>
          <bgColor auto="1"/>
        </patternFill>
      </fill>
      <protection locked="0" hidden="0"/>
    </dxf>
    <dxf>
      <numFmt numFmtId="1" formatCode="0"/>
      <fill>
        <patternFill patternType="none">
          <fgColor indexed="64"/>
          <bgColor indexed="65"/>
        </patternFill>
      </fill>
      <protection locked="1" hidden="1"/>
    </dxf>
    <dxf>
      <font>
        <b/>
      </font>
      <fill>
        <patternFill patternType="none">
          <fgColor indexed="64"/>
          <bgColor auto="1"/>
        </patternFill>
      </fill>
      <protection locked="0" hidden="0"/>
    </dxf>
    <dxf>
      <fill>
        <patternFill patternType="none">
          <fgColor indexed="64"/>
          <bgColor indexed="65"/>
        </patternFill>
      </fill>
      <protection locked="1" hidden="1"/>
    </dxf>
    <dxf>
      <fill>
        <patternFill patternType="none">
          <fgColor indexed="64"/>
          <bgColor auto="1"/>
        </patternFill>
      </fill>
      <protection locked="0" hidden="0"/>
    </dxf>
    <dxf>
      <fill>
        <patternFill patternType="none">
          <fgColor indexed="64"/>
          <bgColor indexed="65"/>
        </patternFill>
      </fill>
      <protection locked="1" hidden="1"/>
    </dxf>
    <dxf>
      <fill>
        <patternFill patternType="none">
          <fgColor indexed="64"/>
          <bgColor auto="1"/>
        </patternFill>
      </fill>
      <alignment horizontal="center" vertical="bottom" textRotation="0" wrapText="0" indent="0" justifyLastLine="0" shrinkToFit="0" readingOrder="0"/>
      <protection locked="0" hidden="0"/>
    </dxf>
    <dxf>
      <fill>
        <patternFill patternType="none">
          <fgColor indexed="64"/>
          <bgColor indexed="65"/>
        </patternFill>
      </fill>
      <protection locked="1" hidden="1"/>
    </dxf>
    <dxf>
      <fill>
        <patternFill patternType="none">
          <fgColor indexed="64"/>
          <bgColor auto="1"/>
        </patternFill>
      </fill>
      <protection locked="0" hidden="0"/>
    </dxf>
    <dxf>
      <fill>
        <patternFill patternType="none">
          <fgColor indexed="64"/>
          <bgColor indexed="65"/>
        </patternFill>
      </fill>
      <protection locked="1" hidden="1"/>
    </dxf>
    <dxf>
      <fill>
        <patternFill patternType="none">
          <fgColor indexed="64"/>
          <bgColor auto="1"/>
        </patternFill>
      </fill>
      <protection locked="0" hidden="0"/>
    </dxf>
    <dxf>
      <fill>
        <patternFill patternType="none">
          <fgColor indexed="64"/>
          <bgColor indexed="65"/>
        </patternFill>
      </fill>
      <protection locked="1" hidden="1"/>
    </dxf>
    <dxf>
      <fill>
        <patternFill patternType="none">
          <fgColor indexed="64"/>
          <bgColor auto="1"/>
        </patternFill>
      </fill>
      <protection locked="1" hidden="1"/>
    </dxf>
    <dxf>
      <protection locked="1" hidden="1"/>
    </dxf>
    <dxf>
      <fill>
        <patternFill patternType="none">
          <fgColor indexed="64"/>
          <bgColor auto="1"/>
        </patternFill>
      </fill>
      <protection locked="1" hidden="1"/>
    </dxf>
    <dxf>
      <fill>
        <patternFill patternType="none">
          <fgColor indexed="64"/>
          <bgColor auto="1"/>
        </patternFill>
      </fill>
      <alignment horizontal="center" vertical="center" textRotation="0" wrapText="1" indent="0" justifyLastLine="0" shrinkToFit="0" readingOrder="0"/>
      <protection locked="1" hidden="1"/>
    </dxf>
    <dxf>
      <border>
        <bottom style="hair">
          <color auto="1"/>
        </bottom>
        <vertical/>
        <horizontal/>
      </border>
    </dxf>
    <dxf>
      <border>
        <bottom style="hair">
          <color auto="1"/>
        </bottom>
        <vertical/>
        <horizontal/>
      </border>
    </dxf>
    <dxf>
      <border>
        <bottom style="hair">
          <color auto="1"/>
        </bottom>
        <vertical/>
        <horizontal/>
      </border>
    </dxf>
    <dxf>
      <border>
        <bottom style="hair">
          <color auto="1"/>
        </bottom>
        <vertical/>
        <horizontal/>
      </border>
    </dxf>
    <dxf>
      <font>
        <b/>
        <i val="0"/>
      </font>
      <border>
        <bottom style="thin">
          <color auto="1"/>
        </bottom>
        <vertical/>
        <horizontal/>
      </border>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0</xdr:rowOff>
    </xdr:from>
    <xdr:to>
      <xdr:col>1</xdr:col>
      <xdr:colOff>2951069</xdr:colOff>
      <xdr:row>4</xdr:row>
      <xdr:rowOff>76200</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0"/>
          <a:ext cx="2922494"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1162050</xdr:colOff>
      <xdr:row>0</xdr:row>
      <xdr:rowOff>0</xdr:rowOff>
    </xdr:from>
    <xdr:to>
      <xdr:col>5</xdr:col>
      <xdr:colOff>360083</xdr:colOff>
      <xdr:row>4</xdr:row>
      <xdr:rowOff>76200</xdr:rowOff>
    </xdr:to>
    <xdr:pic>
      <xdr:nvPicPr>
        <xdr:cNvPr id="2" name="Picture 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34225" y="0"/>
          <a:ext cx="2922494"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1162050</xdr:colOff>
      <xdr:row>0</xdr:row>
      <xdr:rowOff>0</xdr:rowOff>
    </xdr:from>
    <xdr:to>
      <xdr:col>5</xdr:col>
      <xdr:colOff>658906</xdr:colOff>
      <xdr:row>4</xdr:row>
      <xdr:rowOff>76200</xdr:rowOff>
    </xdr:to>
    <xdr:pic>
      <xdr:nvPicPr>
        <xdr:cNvPr id="2" name="Picture 1">
          <a:extLst>
            <a:ext uri="{FF2B5EF4-FFF2-40B4-BE49-F238E27FC236}">
              <a16:creationId xmlns:a16="http://schemas.microsoft.com/office/drawing/2014/main" id="{4220280E-A930-4264-885F-0BD10736EA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05775" y="0"/>
          <a:ext cx="2930899"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438150</xdr:colOff>
      <xdr:row>0</xdr:row>
      <xdr:rowOff>0</xdr:rowOff>
    </xdr:from>
    <xdr:to>
      <xdr:col>11</xdr:col>
      <xdr:colOff>1789019</xdr:colOff>
      <xdr:row>4</xdr:row>
      <xdr:rowOff>76200</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001875" y="0"/>
          <a:ext cx="2922494"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2647950</xdr:colOff>
      <xdr:row>0</xdr:row>
      <xdr:rowOff>19050</xdr:rowOff>
    </xdr:from>
    <xdr:to>
      <xdr:col>3</xdr:col>
      <xdr:colOff>5570444</xdr:colOff>
      <xdr:row>4</xdr:row>
      <xdr:rowOff>57150</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19050"/>
          <a:ext cx="2922494"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1390650</xdr:colOff>
      <xdr:row>0</xdr:row>
      <xdr:rowOff>0</xdr:rowOff>
    </xdr:from>
    <xdr:to>
      <xdr:col>5</xdr:col>
      <xdr:colOff>1188944</xdr:colOff>
      <xdr:row>4</xdr:row>
      <xdr:rowOff>76200</xdr:rowOff>
    </xdr:to>
    <xdr:pic>
      <xdr:nvPicPr>
        <xdr:cNvPr id="2" name="Picture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53025" y="0"/>
          <a:ext cx="2922494"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495300</xdr:colOff>
      <xdr:row>0</xdr:row>
      <xdr:rowOff>0</xdr:rowOff>
    </xdr:from>
    <xdr:to>
      <xdr:col>7</xdr:col>
      <xdr:colOff>1227044</xdr:colOff>
      <xdr:row>4</xdr:row>
      <xdr:rowOff>76200</xdr:rowOff>
    </xdr:to>
    <xdr:pic>
      <xdr:nvPicPr>
        <xdr:cNvPr id="2" name="Picture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29325" y="0"/>
          <a:ext cx="2922494"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560293</xdr:colOff>
      <xdr:row>0</xdr:row>
      <xdr:rowOff>89647</xdr:rowOff>
    </xdr:from>
    <xdr:to>
      <xdr:col>6</xdr:col>
      <xdr:colOff>986118</xdr:colOff>
      <xdr:row>4</xdr:row>
      <xdr:rowOff>165847</xdr:rowOff>
    </xdr:to>
    <xdr:pic>
      <xdr:nvPicPr>
        <xdr:cNvPr id="2" name="Picture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23911" y="89647"/>
          <a:ext cx="2924736"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28</xdr:col>
      <xdr:colOff>2028264</xdr:colOff>
      <xdr:row>0</xdr:row>
      <xdr:rowOff>67235</xdr:rowOff>
    </xdr:from>
    <xdr:to>
      <xdr:col>30</xdr:col>
      <xdr:colOff>1228162</xdr:colOff>
      <xdr:row>4</xdr:row>
      <xdr:rowOff>149785</xdr:rowOff>
    </xdr:to>
    <xdr:pic>
      <xdr:nvPicPr>
        <xdr:cNvPr id="2" name="Picture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251529" y="67235"/>
          <a:ext cx="2921934"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29</xdr:col>
      <xdr:colOff>3990975</xdr:colOff>
      <xdr:row>0</xdr:row>
      <xdr:rowOff>0</xdr:rowOff>
    </xdr:from>
    <xdr:to>
      <xdr:col>32</xdr:col>
      <xdr:colOff>1002926</xdr:colOff>
      <xdr:row>4</xdr:row>
      <xdr:rowOff>76200</xdr:rowOff>
    </xdr:to>
    <xdr:pic>
      <xdr:nvPicPr>
        <xdr:cNvPr id="2" name="Picture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433375" y="0"/>
          <a:ext cx="2922494"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4</xdr:col>
      <xdr:colOff>549088</xdr:colOff>
      <xdr:row>0</xdr:row>
      <xdr:rowOff>138393</xdr:rowOff>
    </xdr:from>
    <xdr:to>
      <xdr:col>6</xdr:col>
      <xdr:colOff>974911</xdr:colOff>
      <xdr:row>5</xdr:row>
      <xdr:rowOff>24093</xdr:rowOff>
    </xdr:to>
    <xdr:pic>
      <xdr:nvPicPr>
        <xdr:cNvPr id="2" name="Picture 1">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92470" y="138393"/>
          <a:ext cx="2924735"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InformationSEA" displayName="InformationSEA" ref="B7:L48" totalsRowCount="1" headerRowDxfId="286" dataDxfId="285" totalsRowDxfId="284">
  <autoFilter ref="B7:L47" xr:uid="{00000000-0009-0000-0100-000001000000}"/>
  <tableColumns count="11">
    <tableColumn id="1" xr3:uid="{00000000-0010-0000-0000-000001000000}" name="N°" totalsRowLabel="Total" dataDxfId="283" totalsRowDxfId="282"/>
    <tableColumn id="2" xr3:uid="{00000000-0010-0000-0000-000002000000}" name="Nom" dataDxfId="281" totalsRowDxfId="280"/>
    <tableColumn id="3" xr3:uid="{00000000-0010-0000-0000-000003000000}" name="Adresse" dataDxfId="279" totalsRowDxfId="278"/>
    <tableColumn id="4" xr3:uid="{00000000-0010-0000-0000-000004000000}" name="Code Postal" dataDxfId="277" totalsRowDxfId="276"/>
    <tableColumn id="5" xr3:uid="{00000000-0010-0000-0000-000005000000}" name="Ville" dataDxfId="275" totalsRowDxfId="274"/>
    <tableColumn id="6" xr3:uid="{00000000-0010-0000-0000-000006000000}" name="N° Agrément" dataDxfId="273" totalsRowDxfId="272"/>
    <tableColumn id="7" xr3:uid="{00000000-0010-0000-0000-000007000000}" name="Capacité maximale_x000a_(Agrément)" totalsRowFunction="sum" dataDxfId="271" totalsRowDxfId="270"/>
    <tableColumn id="8" xr3:uid="{00000000-0010-0000-0000-000008000000}" name="HPE budgétées 2020" totalsRowFunction="sum" dataDxfId="269" totalsRowDxfId="268" dataCellStyle="Comma"/>
    <tableColumn id="9" xr3:uid="{00000000-0010-0000-0000-000009000000}" name="Inclusion_x000a_(Oui/Non)" dataDxfId="267" totalsRowDxfId="266"/>
    <tableColumn id="10" xr3:uid="{00000000-0010-0000-0000-00000A000000}" name="Date d'accord inclusion" dataDxfId="265" totalsRowDxfId="264"/>
    <tableColumn id="11" xr3:uid="{00000000-0010-0000-0000-00000B000000}" name="Heures inclusion accordées" totalsRowFunction="sum" dataDxfId="263" totalsRowDxfId="262" dataCellStyle="Comma">
      <calculatedColumnFormula>IF(InformationSEA[[#This Row],[Date d''accord inclusion]]="","",IF(InformationSEA[[#This Row],[Inclusion
(Oui/Non)]]="OUI",IF(InformationSEA[[#This Row],[HPE budgétées 2020]]*0.015&lt;1040,1040*((WEEKNUM(DATE('Informations générales 1'!$C$10,12,31),17)-WEEKNUM(InformationSEA[[#This Row],[Date d''accord inclusion]],17))/52),InformationSEA[[#This Row],[HPE budgétées 2020]]*0.015*((WEEKNUM(DATE('Informations générales 1'!$C$10,12,31),17)-WEEKNUM(InformationSEA[[#This Row],[Date d''accord inclusion]],17))/52)),""))</calculatedColumnFormula>
    </tableColumn>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A000000}" name="RecettesInterne" displayName="RecettesInterne" ref="AG1:AH10" totalsRowCount="1">
  <autoFilter ref="AG1:AH9" xr:uid="{00000000-0009-0000-0100-00000C000000}"/>
  <tableColumns count="2">
    <tableColumn id="1" xr3:uid="{00000000-0010-0000-0A00-000001000000}" name="Fonction" totalsRowLabel="Total"/>
    <tableColumn id="2" xr3:uid="{00000000-0010-0000-0A00-000002000000}" name="Recettes" totalsRowFunction="sum" totalsRowDxfId="57" dataCellStyle="Currency">
      <calculatedColumnFormula>SUMIF(Recettes[Fonctions],RecettesInterne[[#This Row],[Fonction]],Recettes[Montant])</calculatedColumnFormula>
    </tableColumn>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C415CB2-038A-40C2-9167-E04D6A5A5462}" name="VariablesInternesCOVID" displayName="VariablesInternesCOVID" ref="AB95:AH115" totalsRowCount="1">
  <autoFilter ref="AB95:AH114" xr:uid="{76E5824D-E7FF-49C3-812F-A274E2F57095}"/>
  <tableColumns count="7">
    <tableColumn id="1" xr3:uid="{74C70B77-5E42-47FF-9730-405A4F5B6809}" name="Fonction FF" totalsRowLabel="Total"/>
    <tableColumn id="5" xr3:uid="{4660C5B5-B98C-4428-9818-1A1342A4DC51}" name="Fonction FP"/>
    <tableColumn id="2" xr3:uid="{D2FF8914-03C7-473F-B528-F70CE88D37B7}" name="FF" totalsRowFunction="sum" dataDxfId="56" totalsRowDxfId="55" dataCellStyle="Currency">
      <calculatedColumnFormula>SUMIF(Fonctionnement[Allocation],AB96,Fonctionnement[Montant])</calculatedColumnFormula>
    </tableColumn>
    <tableColumn id="3" xr3:uid="{9C4C337E-C27E-4C68-9CEF-3327E51C0B41}" name="FP SAS groupe A" totalsRowFunction="sum" dataDxfId="54" totalsRowDxfId="53" dataCellStyle="Currency">
      <calculatedColumnFormula>SUMIF(CCTSAS[Allocation fonctions],VariablesInternesCOVID[[#This Row],[Fonction FP]],CCTSAS[Frais heures prestées en COVID entre 8:00 et 13:00])</calculatedColumnFormula>
    </tableColumn>
    <tableColumn id="6" xr3:uid="{A153E549-9F9A-404D-92FF-651F627862EF}" name="FP SAS groupe B" totalsRowFunction="sum" dataDxfId="52" totalsRowDxfId="51" dataCellStyle="Currency">
      <calculatedColumnFormula>SUMIF(CCTSAS[Allocation fonctions],VariablesInternesCOVID[[#This Row],[Fonction FP]],CCTSAS[Frais heures prestées en COVID en surplus du contrat de base en journée à partir de 13:00])</calculatedColumnFormula>
    </tableColumn>
    <tableColumn id="4" xr3:uid="{8B8B75C9-C080-4D1F-BF67-7C25BDFD4358}" name="FP Commune groupe A" totalsRowFunction="sum" dataDxfId="50" totalsRowDxfId="49" dataCellStyle="Currency">
      <calculatedColumnFormula>SUMIF(SalCommune[Allocations fonctions],VariablesInternesCOVID[[#This Row],[Fonction FP]],SalCommune[Frais heures prestées en COVID entre 8:00 et 13:002])</calculatedColumnFormula>
    </tableColumn>
    <tableColumn id="7" xr3:uid="{20F36FBA-012D-471E-A316-882E842FA9D0}" name="FP Commune groupe B" dataDxfId="48" totalsRowDxfId="47" dataCellStyle="Currency">
      <calculatedColumnFormula>SUMIF(SalCommune[Allocations fonctions],VariablesInternesCOVID[[#This Row],[Fonction FP]],SalCommune[Frais heures prestées en COVID en surplus du contrat de base en journée à partir de 13:003])</calculatedColumnFormula>
    </tableColumn>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4324293D-7587-47B6-8F30-BEC1EC01B2F2}" name="Overhead616" displayName="Overhead616" ref="AB26:AH92" totalsRowCount="1" headerRowDxfId="46">
  <autoFilter ref="AB26:AH91" xr:uid="{5388A1D4-53CE-41D6-848E-7A152AF46A23}"/>
  <tableColumns count="7">
    <tableColumn id="1" xr3:uid="{8B703636-B244-44BA-B6C7-6526B982612D}" name="Fonction" totalsRowLabel="Total" totalsRowDxfId="45"/>
    <tableColumn id="2" xr3:uid="{90FCE97F-9549-4C74-8BDF-45FECF1BC648}" name="Frais directement liés à l'activité - Encadrement" totalsRowFunction="sum" dataDxfId="44" totalsRowDxfId="43" dataCellStyle="Currency">
      <calculatedColumnFormula>SUMIFS(Fonctionnement[Montant],Fonctionnement[Allocation],Overhead616[[#This Row],[Fonction]],Fonctionnement[Frais généraux],Overhead616[[#Headers],[Frais directement liés à l''activité - Encadrement]])</calculatedColumnFormula>
    </tableColumn>
    <tableColumn id="3" xr3:uid="{29FAB422-C22F-40B0-BE2B-F6D95808B8F7}" name="Frais directement liés à l'activité - Logistique" totalsRowFunction="sum" dataDxfId="42" totalsRowDxfId="41" dataCellStyle="Currency">
      <calculatedColumnFormula>SUMIFS(Fonctionnement[Montant],Fonctionnement[Allocation],Overhead616[[#This Row],[Fonction]],Fonctionnement[Frais généraux],Overhead616[[#Headers],[Frais directement liés à l''activité - Logistique]])</calculatedColumnFormula>
    </tableColumn>
    <tableColumn id="4" xr3:uid="{65753C5C-30C1-4DEA-AEA3-E2475298072F}" name="Frais indirectement liés à l'activité - Prévues par la loi " totalsRowFunction="sum" dataDxfId="40" totalsRowDxfId="39" dataCellStyle="Currency">
      <calculatedColumnFormula>SUMIFS(Fonctionnement[Montant],Fonctionnement[Allocation],Overhead616[[#This Row],[Fonction]],Fonctionnement[Frais généraux],Overhead616[[#Headers],[Frais indirectement liés à l''activité - Prévues par la loi ]])</calculatedColumnFormula>
    </tableColumn>
    <tableColumn id="5" xr3:uid="{98A53358-01C5-4B8A-A3F0-16E0FCF58484}" name="Frais indirectement liés à l'activité - Autres fonctions - Administration / Logistique" totalsRowFunction="sum" dataDxfId="38" totalsRowDxfId="37" dataCellStyle="Currency">
      <calculatedColumnFormula>SUMIFS(Fonctionnement[Montant],Fonctionnement[Allocation],Overhead616[[#This Row],[Fonction]],Fonctionnement[Frais généraux],Overhead616[[#Headers],[Frais indirectement liés à l''activité - Autres fonctions - Administration / Logistique]])</calculatedColumnFormula>
    </tableColumn>
    <tableColumn id="6" xr3:uid="{6B9494A2-8F26-4187-B5A2-5C183F79C93D}" name="Frais indirectement liés à l'activité - Autres fonctions - Chargé(e) de direction" totalsRowFunction="sum" dataDxfId="36" totalsRowDxfId="35" dataCellStyle="Currency">
      <calculatedColumnFormula>SUMIFS(Fonctionnement[Montant],Fonctionnement[Allocation],Overhead616[[#This Row],[Fonction]],Fonctionnement[Frais généraux],Overhead616[[#Headers],[Frais indirectement liés à l''activité - Autres fonctions - Chargé(e) de direction]])</calculatedColumnFormula>
    </tableColumn>
    <tableColumn id="7" xr3:uid="{04C056CE-A836-4C2E-BBD1-831140E7C9B3}" name="Frais indirectement liés à l'activité - Autres fonctions - Direction générale" totalsRowFunction="sum" dataDxfId="34" totalsRowDxfId="33" dataCellStyle="Currency">
      <calculatedColumnFormula>SUMIFS(Fonctionnement[Montant],Fonctionnement[Allocation],Overhead616[[#This Row],[Fonction]],Fonctionnement[Frais généraux],Overhead616[[#Headers],[Frais indirectement liés à l''activité - Autres fonctions - Direction générale]])</calculatedColumnFormula>
    </tableColumn>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B000000}" name="ETPRECAP" displayName="ETPRECAP" ref="B17:L131" totalsRowShown="0" headerRowDxfId="32" dataDxfId="31">
  <autoFilter ref="B17:L131" xr:uid="{00000000-0009-0000-0100-00000D000000}"/>
  <tableColumns count="11">
    <tableColumn id="1" xr3:uid="{00000000-0010-0000-0B00-000001000000}" name="Carrière" dataDxfId="30"/>
    <tableColumn id="2" xr3:uid="{00000000-0010-0000-0B00-000002000000}" name="Type de convention" dataDxfId="29"/>
    <tableColumn id="3" xr3:uid="{00000000-0010-0000-0B00-000003000000}" name="Heures ETP" dataDxfId="28"/>
    <tableColumn id="4" xr3:uid="{00000000-0010-0000-0B00-000004000000}" name="%" dataDxfId="27">
      <calculatedColumnFormula>ETPRECAP[[#This Row],[Heures ETP]]/$D$15</calculatedColumnFormula>
    </tableColumn>
    <tableColumn id="5" xr3:uid="{00000000-0010-0000-0B00-000005000000}" name="Nombre ETP" dataDxfId="26" dataCellStyle="Comma">
      <calculatedColumnFormula>ETPRECAP[[#This Row],[Heures ETP]]/RTT!$E$7</calculatedColumnFormula>
    </tableColumn>
    <tableColumn id="6" xr3:uid="{00000000-0010-0000-0B00-000006000000}" name="Nombre empl." dataDxfId="25" dataCellStyle="Comma">
      <calculatedColumnFormula>COUNTIF(CCTSAS[Carrière],ETPRECAP[[#This Row],[Carrière]])</calculatedColumnFormula>
    </tableColumn>
    <tableColumn id="7" xr3:uid="{00000000-0010-0000-0B00-000007000000}" name="moyenne Ancienneté" dataDxfId="24" dataCellStyle="Comma">
      <calculatedColumnFormula>IF(ETPRECAP[[#This Row],[Nombre empl.]]=0,0,SUMIF(CCTSAS[Carrière],ETPRECAP[[#This Row],[Carrière]],CCTSAS[Années])/ETPRECAP[[#This Row],[Nombre empl.]])</calculatedColumnFormula>
    </tableColumn>
    <tableColumn id="8" xr3:uid="{00000000-0010-0000-0B00-000008000000}" name="Heures ETP Encadrement" dataDxfId="23" dataCellStyle="Comma">
      <calculatedColumnFormula>SUMIFS(CCTSAS[heures annuelles
selon contrat(s)],CCTSAS[Allocation fonctions],"Encadrement",CCTSAS[Carrière],ETPRECAP[[#This Row],[Carrière]])</calculatedColumnFormula>
    </tableColumn>
    <tableColumn id="9" xr3:uid="{00000000-0010-0000-0B00-000009000000}" name="% Encadrement" dataDxfId="22" dataCellStyle="Percent">
      <calculatedColumnFormula>ETPRECAP[[#This Row],[Heures ETP Encadrement]]/$I$15</calculatedColumnFormula>
    </tableColumn>
    <tableColumn id="10" xr3:uid="{00000000-0010-0000-0B00-00000A000000}" name="Nombre ETP Encadrement" dataDxfId="21" dataCellStyle="Comma">
      <calculatedColumnFormula>ETPRECAP[[#This Row],[Heures ETP Encadrement]]/RTT!$E$7</calculatedColumnFormula>
    </tableColumn>
    <tableColumn id="11" xr3:uid="{00000000-0010-0000-0B00-00000B000000}" name="Qualifié / Non qualifié" dataDxfId="20"/>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C000000}" name="Overhead6" displayName="Overhead6" ref="P9:V75" totalsRowCount="1" headerRowDxfId="13">
  <autoFilter ref="P9:V74" xr:uid="{00000000-0009-0000-0100-000005000000}"/>
  <tableColumns count="7">
    <tableColumn id="1" xr3:uid="{00000000-0010-0000-0C00-000001000000}" name="Fonction" totalsRowLabel="Total" totalsRowDxfId="12"/>
    <tableColumn id="2" xr3:uid="{00000000-0010-0000-0C00-000002000000}" name="Frais directement liés à l'activité - Encadrement" totalsRowFunction="sum" dataDxfId="11" totalsRowDxfId="10" dataCellStyle="Currency">
      <calculatedColumnFormula>SUMIFS(Fonctionnement[Montant],Fonctionnement[Allocation],Overhead6[[#This Row],[Fonction]],Fonctionnement[Frais généraux],Overhead6[[#Headers],[Frais directement liés à l''activité - Encadrement]])</calculatedColumnFormula>
    </tableColumn>
    <tableColumn id="3" xr3:uid="{00000000-0010-0000-0C00-000003000000}" name="Frais directement liés à l'activité - Logistique" totalsRowFunction="sum" dataDxfId="9" totalsRowDxfId="8" dataCellStyle="Currency">
      <calculatedColumnFormula>SUMIFS(Fonctionnement[Montant],Fonctionnement[Allocation],Overhead6[[#This Row],[Fonction]],Fonctionnement[Frais généraux],Overhead6[[#Headers],[Frais directement liés à l''activité - Logistique]])</calculatedColumnFormula>
    </tableColumn>
    <tableColumn id="4" xr3:uid="{00000000-0010-0000-0C00-000004000000}" name="Frais indirectement liés à l'activité - Prévues par la loi " totalsRowFunction="sum" dataDxfId="7" totalsRowDxfId="6" dataCellStyle="Currency">
      <calculatedColumnFormula>SUMIFS(Fonctionnement[Montant],Fonctionnement[Allocation],Overhead6[[#This Row],[Fonction]],Fonctionnement[Frais généraux],Overhead6[[#Headers],[Frais indirectement liés à l''activité - Prévues par la loi ]])</calculatedColumnFormula>
    </tableColumn>
    <tableColumn id="5" xr3:uid="{00000000-0010-0000-0C00-000005000000}" name="Frais indirectement liés à l'activité - Autres fonctions - Administration / Logistique" totalsRowFunction="sum" dataDxfId="5" totalsRowDxfId="4" dataCellStyle="Currency">
      <calculatedColumnFormula>SUMIFS(Fonctionnement[Montant],Fonctionnement[Allocation],Overhead6[[#This Row],[Fonction]],Fonctionnement[Frais généraux],Overhead6[[#Headers],[Frais indirectement liés à l''activité - Autres fonctions - Administration / Logistique]])</calculatedColumnFormula>
    </tableColumn>
    <tableColumn id="6" xr3:uid="{00000000-0010-0000-0C00-000006000000}" name="Frais indirectement liés à l'activité - Autres fonctions - Chargé(e) de direction" totalsRowFunction="sum" dataDxfId="3" totalsRowDxfId="2" dataCellStyle="Currency">
      <calculatedColumnFormula>SUMIFS(Fonctionnement[Montant],Fonctionnement[Allocation],Overhead6[[#This Row],[Fonction]],Fonctionnement[Frais généraux],Overhead6[[#Headers],[Frais indirectement liés à l''activité - Autres fonctions - Chargé(e) de direction]])</calculatedColumnFormula>
    </tableColumn>
    <tableColumn id="7" xr3:uid="{00000000-0010-0000-0C00-000007000000}" name="Frais indirectement liés à l'activité - Autres fonctions - Direction générale" totalsRowFunction="sum" dataDxfId="1" totalsRowDxfId="0" dataCellStyle="Currency">
      <calculatedColumnFormula>SUMIFS(Fonctionnement[Montant],Fonctionnement[Allocation],Overhead6[[#This Row],[Fonction]],Fonctionnement[Frais généraux],Overhead6[[#Headers],[Frais indirectement liés à l''activité - Autres fonctions - Direction générale]])</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BPI" displayName="BPI" ref="B14:F65" totalsRowCount="1" headerRowDxfId="256" dataDxfId="255" totalsRowDxfId="254">
  <autoFilter ref="B14:F64" xr:uid="{00000000-0009-0000-0100-000002000000}"/>
  <tableColumns count="5">
    <tableColumn id="1" xr3:uid="{00000000-0010-0000-0100-000001000000}" name="N°" totalsRowLabel="Total" dataDxfId="253" totalsRowDxfId="252"/>
    <tableColumn id="2" xr3:uid="{00000000-0010-0000-0100-000002000000}" name="Initiales du nom de l'enfant" totalsRowFunction="count" dataDxfId="251" totalsRowDxfId="250"/>
    <tableColumn id="3" xr3:uid="{00000000-0010-0000-0100-000003000000}" name="du" dataDxfId="249" totalsRowDxfId="248"/>
    <tableColumn id="4" xr3:uid="{00000000-0010-0000-0100-000004000000}" name="au" dataDxfId="247" totalsRowDxfId="246"/>
    <tableColumn id="5" xr3:uid="{00000000-0010-0000-0100-000005000000}" name="Aide étatique" totalsRowFunction="sum" dataDxfId="245" totalsRowDxfId="244" dataCellStyle="Currency">
      <calculatedColumnFormula>IF(COUNTA(BPI[[#This Row],[Initiales du nom de l''enfant]:[au]])=3,(MONTH(BPI[[#This Row],[au]])-MONTH(BPI[[#This Row],[du]])+1)*100,"")</calculatedColumnFormula>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EBS" displayName="EBS" ref="B8:H109" totalsRowCount="1" headerRowDxfId="243" dataDxfId="242" totalsRowDxfId="241">
  <autoFilter ref="B8:H108" xr:uid="{00000000-0009-0000-0100-000003000000}"/>
  <tableColumns count="7">
    <tableColumn id="1" xr3:uid="{00000000-0010-0000-0200-000001000000}" name="N°" totalsRowLabel="Total" dataDxfId="240" totalsRowDxfId="239"/>
    <tableColumn id="2" xr3:uid="{00000000-0010-0000-0200-000002000000}" name="Initiales" dataDxfId="238" totalsRowDxfId="237"/>
    <tableColumn id="8" xr3:uid="{00000000-0010-0000-0200-000008000000}" name="EBS/ _x000a_Renfort temporair" dataDxfId="236" totalsRowDxfId="235"/>
    <tableColumn id="3" xr3:uid="{00000000-0010-0000-0200-000003000000}" name="du" dataDxfId="234" totalsRowDxfId="233"/>
    <tableColumn id="4" xr3:uid="{00000000-0010-0000-0200-000004000000}" name="au" dataDxfId="232" totalsRowDxfId="231"/>
    <tableColumn id="5" xr3:uid="{00000000-0010-0000-0200-000005000000}" name="hrs/sem _x000a_accordées" totalsRowFunction="sum" dataDxfId="230" totalsRowDxfId="229"/>
    <tableColumn id="6" xr3:uid="{00000000-0010-0000-0200-000006000000}" name="heures annuelles" totalsRowFunction="sum" dataDxfId="228" totalsRowDxfId="227" dataCellStyle="Comma">
      <calculatedColumnFormula>IF(COUNTA(EBS[[#This Row],[Initiales]:[hrs/sem 
accordées]])=5,(WEEKNUM(EBS[[#This Row],[au]])-WEEKNUM(EBS[[#This Row],[du]]))*EBS[[#This Row],[hrs/sem 
accordées]],"")</calculatedColumnFormula>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Fonctionnement" displayName="Fonctionnement" ref="B8:G502" totalsRowCount="1" headerRowDxfId="226" dataDxfId="225" totalsRowDxfId="224">
  <autoFilter ref="B8:G501" xr:uid="{00000000-0009-0000-0100-000004000000}"/>
  <tableColumns count="6">
    <tableColumn id="1" xr3:uid="{00000000-0010-0000-0300-000001000000}" name="Compte" totalsRowLabel="Total" dataDxfId="223" totalsRowDxfId="222"/>
    <tableColumn id="2" xr3:uid="{00000000-0010-0000-0300-000002000000}" name="Intitulé de compte" dataDxfId="221" totalsRowDxfId="220"/>
    <tableColumn id="3" xr3:uid="{00000000-0010-0000-0300-000003000000}" name="Montant" totalsRowFunction="sum" dataDxfId="219" totalsRowDxfId="218" dataCellStyle="Currency"/>
    <tableColumn id="4" xr3:uid="{00000000-0010-0000-0300-000004000000}" name="Allocation" dataDxfId="217" totalsRowDxfId="216"/>
    <tableColumn id="6" xr3:uid="{00000000-0010-0000-0300-000006000000}" name="Frais généraux" dataDxfId="215" totalsRowDxfId="214"/>
    <tableColumn id="5" xr3:uid="{00000000-0010-0000-0300-000005000000}" name="Commentaire" dataDxfId="213" totalsRowDxfId="212"/>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CCTSAS" displayName="CCTSAS" ref="B6:AH511" totalsRowCount="1" headerRowDxfId="211" dataDxfId="210">
  <autoFilter ref="B6:AH510" xr:uid="{00000000-0009-0000-0100-000007000000}"/>
  <tableColumns count="33">
    <tableColumn id="1" xr3:uid="{00000000-0010-0000-0400-000001000000}" name="N°" totalsRowLabel="Total" dataDxfId="209" totalsRowDxfId="208"/>
    <tableColumn id="2" xr3:uid="{00000000-0010-0000-0400-000002000000}" name="Nom" dataDxfId="207" totalsRowDxfId="206"/>
    <tableColumn id="3" xr3:uid="{00000000-0010-0000-0400-000003000000}" name="Prénom" dataDxfId="205" totalsRowDxfId="204"/>
    <tableColumn id="4" xr3:uid="{00000000-0010-0000-0400-000004000000}" name="Matricule" dataDxfId="203" totalsRowDxfId="202"/>
    <tableColumn id="5" xr3:uid="{00000000-0010-0000-0400-000005000000}" name="Carrière" dataDxfId="201" totalsRowDxfId="200"/>
    <tableColumn id="6" xr3:uid="{00000000-0010-0000-0400-000006000000}" name="Années" dataDxfId="199" totalsRowDxfId="198"/>
    <tableColumn id="7" xr3:uid="{00000000-0010-0000-0400-000007000000}" name="Points" dataDxfId="197" totalsRowDxfId="196"/>
    <tableColumn id="8" xr3:uid="{00000000-0010-0000-0400-000008000000}" name="du" dataDxfId="195" totalsRowDxfId="194"/>
    <tableColumn id="9" xr3:uid="{00000000-0010-0000-0400-000009000000}" name="au" dataDxfId="193" totalsRowDxfId="192"/>
    <tableColumn id="10" xr3:uid="{00000000-0010-0000-0400-00000A000000}" name="heures annuelles_x000a_selon contrat(s)" totalsRowFunction="sum" dataDxfId="191" totalsRowDxfId="190" dataCellStyle="Comma"/>
    <tableColumn id="30" xr3:uid="{EB166744-C769-47E2-89A9-465A189BB4F1}" name="dont heures prestées en COVID entre 8:00 et 13:00 pendant la période scolaire_x000a_(période du 25/05/2020 - 15/07/2020)" dataDxfId="189" totalsRowDxfId="188" dataCellStyle="Comma"/>
    <tableColumn id="31" xr3:uid="{05A2E70A-D0F3-4849-B512-CC81A239F08B}" name="dont heures additionnelles Avenant / personnel engagé spécifique COVID jusqu'au 31/12/2020" dataDxfId="187" totalsRowDxfId="186" dataCellStyle="Comma"/>
    <tableColumn id="11" xr3:uid="{00000000-0010-0000-0400-00000B000000}" name="Heures annuelles RTT" totalsRowFunction="sum" dataDxfId="185" totalsRowDxfId="184" dataCellStyle="Comma">
      <calculatedColumnFormula>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calculatedColumnFormula>
    </tableColumn>
    <tableColumn id="12" xr3:uid="{00000000-0010-0000-0400-00000C000000}" name="Heures de maladie" totalsRowFunction="sum" dataDxfId="183" totalsRowDxfId="182" dataCellStyle="Comma"/>
    <tableColumn id="28" xr3:uid="{87558AAD-0BFA-4DE2-8B67-F04A3C1A745A}" name="Heures CRF Covid" dataDxfId="181" totalsRowDxfId="180" dataCellStyle="Comma"/>
    <tableColumn id="13" xr3:uid="{00000000-0010-0000-0400-00000D000000}" name="Autres absences motivées" totalsRowFunction="sum" dataDxfId="179" totalsRowDxfId="178"/>
    <tableColumn id="14" xr3:uid="{00000000-0010-0000-0400-00000E000000}" name="Brut" totalsRowFunction="sum" dataDxfId="177" totalsRowDxfId="176" dataCellStyle="Currency"/>
    <tableColumn id="15" xr3:uid="{00000000-0010-0000-0400-00000F000000}" name="Primes convention financement" totalsRowFunction="sum" dataDxfId="175" totalsRowDxfId="174" dataCellStyle="Currency"/>
    <tableColumn id="16" xr3:uid="{00000000-0010-0000-0400-000010000000}" name="Autres primes" totalsRowFunction="sum" dataDxfId="173" totalsRowDxfId="172" dataCellStyle="Currency"/>
    <tableColumn id="17" xr3:uid="{00000000-0010-0000-0400-000011000000}" name="Part patronale" totalsRowFunction="sum" dataDxfId="171" totalsRowDxfId="170" dataCellStyle="Currency"/>
    <tableColumn id="18" xr3:uid="{00000000-0010-0000-0400-000012000000}" name="Remboursement_x000a_Mutualité" totalsRowFunction="sum" dataDxfId="169" totalsRowDxfId="168" dataCellStyle="Currency"/>
    <tableColumn id="29" xr3:uid="{ACDAC630-AA16-46B9-A5E5-4E4979060C06}" name="Remboursement CRF COVID" dataDxfId="167" totalsRowDxfId="166" dataCellStyle="Currency"/>
    <tableColumn id="19" xr3:uid="{00000000-0010-0000-0400-000013000000}" name="Remboursement_x000a_Autres" totalsRowFunction="sum" dataDxfId="165" totalsRowDxfId="164" dataCellStyle="Currency"/>
    <tableColumn id="20" xr3:uid="{00000000-0010-0000-0400-000014000000}" name="Total global" totalsRowFunction="sum" dataDxfId="163" totalsRowDxfId="162" dataCellStyle="Currency">
      <calculatedColumnFormula>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calculatedColumnFormula>
    </tableColumn>
    <tableColumn id="21" xr3:uid="{00000000-0010-0000-0400-000015000000}" name="Dont non opposable" totalsRowFunction="sum" dataDxfId="161" totalsRowDxfId="160" dataCellStyle="Currency"/>
    <tableColumn id="22" xr3:uid="{00000000-0010-0000-0400-000016000000}" name="Total éligible" totalsRowFunction="sum" dataDxfId="159" totalsRowDxfId="158" dataCellStyle="Currency">
      <calculatedColumnFormula>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calculatedColumnFormula>
    </tableColumn>
    <tableColumn id="23" xr3:uid="{00000000-0010-0000-0400-000017000000}" name="Nom de la structure" dataDxfId="157" totalsRowDxfId="156"/>
    <tableColumn id="24" xr3:uid="{00000000-0010-0000-0400-000018000000}" name="Allocation fonctions" dataDxfId="155" totalsRowDxfId="154"/>
    <tableColumn id="27" xr3:uid="{00000000-0010-0000-0400-00001B000000}" name="Frais heures prestées en COVID entre 8:00 et 13:00" dataDxfId="153" totalsRowDxfId="152">
      <calculatedColumnFormula>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calculatedColumnFormula>
    </tableColumn>
    <tableColumn id="32" xr3:uid="{A5997E31-1E80-4EF2-BE74-C57D5856DC39}" name="Frais heures prestées en COVID en surplus du contrat de base en journée à partir de 13:00" dataDxfId="151" totalsRowDxfId="150">
      <calculatedColumnFormula>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calculatedColumnFormula>
    </tableColumn>
    <tableColumn id="33" xr3:uid="{B32F3E38-6B0A-4497-8218-2CF57310891D}" name="Frais généraux" dataDxfId="149" totalsRowDxfId="148"/>
    <tableColumn id="25" xr3:uid="{00000000-0010-0000-0400-000019000000}" name="Commentaire" dataDxfId="147" totalsRowDxfId="146"/>
    <tableColumn id="26" xr3:uid="{00000000-0010-0000-0400-00001A000000}" name="Code Convention" totalsRowFunction="count" dataDxfId="145" totalsRowDxfId="144">
      <calculatedColumnFormula>IF(COUNTA(CCTSAS[[#This Row],[N°]:[heures annuelles
selon contrat(s)]])=0,"",REVEX!$E$9)</calculatedColumnFormula>
    </tableColum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5000000}" name="SalCommune" displayName="SalCommune" ref="B6:AG511" totalsRowCount="1" headerRowDxfId="143" dataDxfId="142">
  <autoFilter ref="B6:AG510" xr:uid="{00000000-0009-0000-0100-00000A000000}"/>
  <tableColumns count="32">
    <tableColumn id="1" xr3:uid="{00000000-0010-0000-0500-000001000000}" name="N°" totalsRowLabel="Total" dataDxfId="141" totalsRowDxfId="140"/>
    <tableColumn id="2" xr3:uid="{00000000-0010-0000-0500-000002000000}" name="Nom" dataDxfId="139" totalsRowDxfId="138"/>
    <tableColumn id="3" xr3:uid="{00000000-0010-0000-0500-000003000000}" name="Prénom" dataDxfId="137" totalsRowDxfId="136"/>
    <tableColumn id="4" xr3:uid="{00000000-0010-0000-0500-000004000000}" name="Matricule" dataDxfId="135" totalsRowDxfId="134"/>
    <tableColumn id="5" xr3:uid="{00000000-0010-0000-0500-000005000000}" name="Statut" dataDxfId="133" totalsRowDxfId="132"/>
    <tableColumn id="6" xr3:uid="{00000000-0010-0000-0500-000006000000}" name="Carrière" dataDxfId="131" totalsRowDxfId="130"/>
    <tableColumn id="7" xr3:uid="{00000000-0010-0000-0500-000007000000}" name="Heures de congé de maternité" dataDxfId="129" totalsRowDxfId="128" dataCellStyle="Comma"/>
    <tableColumn id="8" xr3:uid="{00000000-0010-0000-0500-000008000000}" name="Années" dataDxfId="127" totalsRowDxfId="126" dataCellStyle="Comma"/>
    <tableColumn id="9" xr3:uid="{00000000-0010-0000-0500-000009000000}" name="Points" dataDxfId="125" totalsRowDxfId="124" dataCellStyle="Comma"/>
    <tableColumn id="10" xr3:uid="{00000000-0010-0000-0500-00000A000000}" name="du" dataDxfId="123" totalsRowDxfId="122"/>
    <tableColumn id="11" xr3:uid="{00000000-0010-0000-0500-00000B000000}" name="au" dataDxfId="121" totalsRowDxfId="120"/>
    <tableColumn id="27" xr3:uid="{00000000-0010-0000-0500-00001B000000}" name="heures annuelles_x000a_selon contrat(s)" totalsRowFunction="sum" dataDxfId="119" totalsRowDxfId="118" dataCellStyle="Comma"/>
    <tableColumn id="30" xr3:uid="{B0E84982-2F74-4C09-928B-01A74478CF72}" name="dont heures prestées en COVID entre 8:00 et 13:00 pendant la période scolaire_x000a_(période du 25/05/2020 - 15/07/2020)" dataDxfId="117" totalsRowDxfId="116" dataCellStyle="Comma"/>
    <tableColumn id="29" xr3:uid="{1ADB7C47-53E6-4B6E-A0E7-574F7F5D6372}" name="dont heures additionnelles Avenant / personnel engagé spécifique COVID jusqu'au 31/12/2020" dataDxfId="115" totalsRowDxfId="114" dataCellStyle="Comma"/>
    <tableColumn id="12" xr3:uid="{00000000-0010-0000-0500-00000C000000}" name="Heures annuelles RTT" totalsRowFunction="sum" dataDxfId="113" totalsRowDxfId="112" dataCellStyle="Comma">
      <calculatedColumnFormula>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calculatedColumnFormula>
    </tableColumn>
    <tableColumn id="13" xr3:uid="{00000000-0010-0000-0500-00000D000000}" name="Heures de maladie" totalsRowFunction="sum" dataDxfId="111" totalsRowDxfId="110" dataCellStyle="Comma"/>
    <tableColumn id="28" xr3:uid="{1E5CF72B-E141-41AE-9E75-AC6486DFCE05}" name="Autres heures _x000a_d'absences motivées" dataDxfId="109" totalsRowDxfId="108" dataCellStyle="Comma"/>
    <tableColumn id="14" xr3:uid="{00000000-0010-0000-0500-00000E000000}" name="Brut" totalsRowFunction="sum" dataDxfId="107" totalsRowDxfId="106" dataCellStyle="Currency"/>
    <tableColumn id="15" xr3:uid="{00000000-0010-0000-0500-00000F000000}" name="Autres Primes" totalsRowFunction="sum" dataDxfId="105" totalsRowDxfId="104" dataCellStyle="Currency"/>
    <tableColumn id="16" xr3:uid="{00000000-0010-0000-0500-000010000000}" name="Part patronale" totalsRowFunction="sum" dataDxfId="103" totalsRowDxfId="102" dataCellStyle="Currency"/>
    <tableColumn id="17" xr3:uid="{00000000-0010-0000-0500-000011000000}" name="Remboursement Mutualité" totalsRowFunction="sum" dataDxfId="101" totalsRowDxfId="100" dataCellStyle="Currency"/>
    <tableColumn id="18" xr3:uid="{00000000-0010-0000-0500-000012000000}" name="Remboursement_x000a_Autres" totalsRowFunction="sum" dataDxfId="99" totalsRowDxfId="98" dataCellStyle="Currency"/>
    <tableColumn id="19" xr3:uid="{00000000-0010-0000-0500-000013000000}" name="Total global" totalsRowFunction="sum" dataDxfId="97" totalsRowDxfId="96" dataCellStyle="Currency">
      <calculatedColumnFormula>IF(COUNTA(SalCommune[[#This Row],[N°]:[heures annuelles
selon contrat(s)]])=0,"",SalCommune[[#This Row],[Brut]]+SalCommune[[#This Row],[Autres Primes]]+SalCommune[[#This Row],[Part patronale]]-ABS(SalCommune[[#This Row],[Remboursement Mutualité]])-ABS(SalCommune[[#This Row],[Remboursement
Autres]]))</calculatedColumnFormula>
    </tableColumn>
    <tableColumn id="20" xr3:uid="{00000000-0010-0000-0500-000014000000}" name="Dont non opposable" totalsRowFunction="sum" dataDxfId="95" totalsRowDxfId="94" dataCellStyle="Currency"/>
    <tableColumn id="21" xr3:uid="{00000000-0010-0000-0500-000015000000}" name="Total éligible" totalsRowFunction="sum" dataDxfId="93" totalsRowDxfId="92" dataCellStyle="Currency">
      <calculatedColumnFormula>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calculatedColumnFormula>
    </tableColumn>
    <tableColumn id="22" xr3:uid="{00000000-0010-0000-0500-000016000000}" name="Nom de la structure" dataDxfId="91" totalsRowDxfId="90"/>
    <tableColumn id="23" xr3:uid="{00000000-0010-0000-0500-000017000000}" name="Allocations fonctions" dataDxfId="89" totalsRowDxfId="88"/>
    <tableColumn id="31" xr3:uid="{DFCF4346-DFD6-4E00-B260-C6C11DE3790D}" name="Frais heures prestées en COVID entre 8:00 et 13:002" dataDxfId="87" totalsRowDxfId="86">
      <calculatedColumnFormula>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calculatedColumnFormula>
    </tableColumn>
    <tableColumn id="24" xr3:uid="{00000000-0010-0000-0500-000018000000}" name="Frais heures prestées en COVID en surplus du contrat de base en journée à partir de 13:003" dataDxfId="85" totalsRowDxfId="84">
      <calculatedColumnFormula>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calculatedColumnFormula>
    </tableColumn>
    <tableColumn id="32" xr3:uid="{832AAF89-9B12-4043-8CA2-B3F6788BC160}" name="Frais généraux" dataDxfId="83" totalsRowDxfId="82"/>
    <tableColumn id="25" xr3:uid="{00000000-0010-0000-0500-000019000000}" name="Commentaire" dataDxfId="81" totalsRowDxfId="80"/>
    <tableColumn id="26" xr3:uid="{00000000-0010-0000-0500-00001A000000}" name="Code Convention" dataDxfId="79" totalsRowDxfId="78">
      <calculatedColumnFormula>IF(COUNTA(SalCommune[[#This Row],[N°]:[heures annuelles
selon contrat(s)]])=0,"",REVEX!$E$9)</calculatedColumnFormula>
    </tableColumn>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6000000}" name="Recettes" displayName="Recettes" ref="B8:G101" totalsRowCount="1" headerRowDxfId="77" dataDxfId="76" totalsRowDxfId="75">
  <autoFilter ref="B8:G100" xr:uid="{00000000-0009-0000-0100-00000B000000}"/>
  <tableColumns count="6">
    <tableColumn id="1" xr3:uid="{00000000-0010-0000-0600-000001000000}" name="Compte" totalsRowLabel="Total" dataDxfId="74" totalsRowDxfId="73"/>
    <tableColumn id="2" xr3:uid="{00000000-0010-0000-0600-000002000000}" name="Intitulé de compte" dataDxfId="72" totalsRowDxfId="71"/>
    <tableColumn id="3" xr3:uid="{00000000-0010-0000-0600-000003000000}" name="Montant" totalsRowFunction="sum" dataDxfId="70" totalsRowDxfId="69" dataCellStyle="Currency"/>
    <tableColumn id="4" xr3:uid="{00000000-0010-0000-0600-000004000000}" name="Fonctions" dataDxfId="68" totalsRowDxfId="67"/>
    <tableColumn id="5" xr3:uid="{00000000-0010-0000-0600-000005000000}" name="Frais généraux" dataDxfId="66" totalsRowDxfId="65"/>
    <tableColumn id="6" xr3:uid="{00000000-0010-0000-0600-000006000000}" name="Commentaire" totalsRowFunction="count" dataDxfId="64" totalsRowDxfId="63"/>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7000000}" name="DROPDOWN" displayName="DROPDOWN" ref="A1:M81" totalsRowShown="0">
  <autoFilter ref="A1:M81" xr:uid="{00000000-0009-0000-0100-000006000000}"/>
  <tableColumns count="13">
    <tableColumn id="1" xr3:uid="{00000000-0010-0000-0700-000001000000}" name="Dropdown1"/>
    <tableColumn id="2" xr3:uid="{00000000-0010-0000-0700-000002000000}" name="Dropdown2"/>
    <tableColumn id="3" xr3:uid="{00000000-0010-0000-0700-000003000000}" name="Dropdown3"/>
    <tableColumn id="4" xr3:uid="{00000000-0010-0000-0700-000004000000}" name="Dropdown5"/>
    <tableColumn id="5" xr3:uid="{00000000-0010-0000-0700-000005000000}" name="dropdown6"/>
    <tableColumn id="6" xr3:uid="{00000000-0010-0000-0700-000006000000}" name="Dropdown7"/>
    <tableColumn id="7" xr3:uid="{00000000-0010-0000-0700-000007000000}" name="Dropdown8"/>
    <tableColumn id="13" xr3:uid="{23B47A57-7CE7-4C4A-B07C-4AE629155C18}" name="Dropdown82"/>
    <tableColumn id="8" xr3:uid="{00000000-0010-0000-0700-000008000000}" name="Dropdown9"/>
    <tableColumn id="9" xr3:uid="{00000000-0010-0000-0700-000009000000}" name="Dropdown10"/>
    <tableColumn id="10" xr3:uid="{00000000-0010-0000-0700-00000A000000}" name="Dropdown11"/>
    <tableColumn id="11" xr3:uid="{00000000-0010-0000-0700-00000B000000}" name="Dropdown12"/>
    <tableColumn id="12" xr3:uid="{00000000-0010-0000-0700-00000C000000}" name="Dropdown13"/>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8000000}" name="VariablesInternes" displayName="VariablesInternes" ref="AB1:AE21" totalsRowCount="1">
  <autoFilter ref="AB1:AE20" xr:uid="{00000000-0009-0000-0100-000008000000}"/>
  <tableColumns count="4">
    <tableColumn id="1" xr3:uid="{00000000-0010-0000-0800-000001000000}" name="Fonction" totalsRowLabel="Total"/>
    <tableColumn id="2" xr3:uid="{00000000-0010-0000-0800-000002000000}" name="FF" totalsRowFunction="sum" dataDxfId="61" totalsRowDxfId="60" dataCellStyle="Currency">
      <calculatedColumnFormula>SUMIF(Fonctionnement[Allocation],AB2,Fonctionnement[Montant])</calculatedColumnFormula>
    </tableColumn>
    <tableColumn id="3" xr3:uid="{00000000-0010-0000-0800-000003000000}" name="FP SAS" totalsRowFunction="sum" totalsRowDxfId="59" dataCellStyle="Currency">
      <calculatedColumnFormula>SUMIF(CCTSAS[Allocation fonctions],VariablesInternes[[#This Row],[Fonction]],CCTSAS[Total éligible])</calculatedColumnFormula>
    </tableColumn>
    <tableColumn id="4" xr3:uid="{00000000-0010-0000-0800-000004000000}" name="FP Commune" totalsRowFunction="sum" totalsRowDxfId="58" dataCellStyle="Currency">
      <calculatedColumnFormula>SUMIF(SalCommune[Allocations fonctions],VariablesInternes[[#This Row],[Fonction]],SalCommune[Total éligible])</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12.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13.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tint="0.59999389629810485"/>
    <pageSetUpPr fitToPage="1"/>
  </sheetPr>
  <dimension ref="B7:F61"/>
  <sheetViews>
    <sheetView tabSelected="1" zoomScaleNormal="100" workbookViewId="0">
      <selection activeCell="C17" sqref="C17"/>
    </sheetView>
  </sheetViews>
  <sheetFormatPr defaultColWidth="9.140625" defaultRowHeight="15" x14ac:dyDescent="0.25"/>
  <cols>
    <col min="1" max="1" width="2.85546875" style="2" customWidth="1"/>
    <col min="2" max="2" width="69.140625" style="2" bestFit="1" customWidth="1"/>
    <col min="3" max="3" width="40.140625" style="2" customWidth="1"/>
    <col min="4" max="4" width="4.42578125" style="2" bestFit="1" customWidth="1"/>
    <col min="5" max="5" width="5.7109375" style="2" bestFit="1" customWidth="1"/>
    <col min="6" max="7" width="10.140625" style="2" bestFit="1" customWidth="1"/>
    <col min="8" max="16384" width="9.140625" style="2"/>
  </cols>
  <sheetData>
    <row r="7" spans="2:6" x14ac:dyDescent="0.25">
      <c r="B7" s="11" t="s">
        <v>0</v>
      </c>
      <c r="C7" s="11"/>
    </row>
    <row r="9" spans="2:6" ht="15.75" thickBot="1" x14ac:dyDescent="0.3"/>
    <row r="10" spans="2:6" ht="15.75" thickBot="1" x14ac:dyDescent="0.3">
      <c r="B10" s="12" t="s">
        <v>10</v>
      </c>
      <c r="C10" s="565">
        <v>2020</v>
      </c>
      <c r="D10" s="566"/>
      <c r="E10" s="566"/>
      <c r="F10" s="567"/>
    </row>
    <row r="11" spans="2:6" ht="15.75" thickBot="1" x14ac:dyDescent="0.3">
      <c r="B11" s="12"/>
    </row>
    <row r="12" spans="2:6" ht="15.75" thickBot="1" x14ac:dyDescent="0.3">
      <c r="B12" s="12" t="s">
        <v>11</v>
      </c>
      <c r="C12" s="568" t="s">
        <v>2</v>
      </c>
      <c r="D12" s="569"/>
      <c r="E12" s="569"/>
      <c r="F12" s="570"/>
    </row>
    <row r="13" spans="2:6" x14ac:dyDescent="0.25">
      <c r="B13" s="12"/>
    </row>
    <row r="14" spans="2:6" x14ac:dyDescent="0.25">
      <c r="B14" s="12" t="s">
        <v>12</v>
      </c>
      <c r="C14" s="239">
        <v>0.75</v>
      </c>
      <c r="D14" s="14" t="s">
        <v>13</v>
      </c>
      <c r="E14" s="15" t="str">
        <f>IF(C14=1,"","- "&amp;(1-C14)*100&amp;"%")</f>
        <v>- 25%</v>
      </c>
      <c r="F14" s="11" t="str">
        <f>IF(C14=1,"","Commune")</f>
        <v>Commune</v>
      </c>
    </row>
    <row r="15" spans="2:6" x14ac:dyDescent="0.25">
      <c r="B15" s="12"/>
      <c r="C15" s="12"/>
    </row>
    <row r="16" spans="2:6" x14ac:dyDescent="0.25">
      <c r="B16" s="2" t="str">
        <f>IF($C$12="Bipartite","","COMMUNE")</f>
        <v>COMMUNE</v>
      </c>
      <c r="C16" s="379" t="str">
        <f>IF($C$12="Bipartite","","Administration communale de")</f>
        <v>Administration communale de</v>
      </c>
      <c r="D16" s="47"/>
    </row>
    <row r="17" spans="2:4" x14ac:dyDescent="0.25">
      <c r="C17" s="380" t="str">
        <f>IF($C$12="Bipartite","","[adresse]")</f>
        <v>[adresse]</v>
      </c>
      <c r="D17" s="380"/>
    </row>
    <row r="18" spans="2:4" x14ac:dyDescent="0.25">
      <c r="C18" s="380" t="str">
        <f>IF($C$12="Bipartite","","[code postal]")</f>
        <v>[code postal]</v>
      </c>
      <c r="D18" s="380"/>
    </row>
    <row r="20" spans="2:4" x14ac:dyDescent="0.25">
      <c r="B20" s="2" t="s">
        <v>431</v>
      </c>
      <c r="C20" s="240" t="s">
        <v>594</v>
      </c>
      <c r="D20" s="236"/>
    </row>
    <row r="21" spans="2:4" x14ac:dyDescent="0.25">
      <c r="C21" s="241" t="s">
        <v>4</v>
      </c>
      <c r="D21" s="237"/>
    </row>
    <row r="22" spans="2:4" x14ac:dyDescent="0.25">
      <c r="C22" s="242" t="s">
        <v>5</v>
      </c>
      <c r="D22" s="238"/>
    </row>
    <row r="24" spans="2:4" x14ac:dyDescent="0.25">
      <c r="B24" s="2" t="s">
        <v>14</v>
      </c>
      <c r="C24" s="240" t="s">
        <v>660</v>
      </c>
      <c r="D24" s="236"/>
    </row>
    <row r="27" spans="2:4" ht="15.75" thickBot="1" x14ac:dyDescent="0.3">
      <c r="B27" s="13" t="s">
        <v>17</v>
      </c>
    </row>
    <row r="28" spans="2:4" x14ac:dyDescent="0.25">
      <c r="B28" s="83" t="s">
        <v>18</v>
      </c>
      <c r="C28" s="235"/>
      <c r="D28" s="84"/>
    </row>
    <row r="29" spans="2:4" x14ac:dyDescent="0.25">
      <c r="B29" s="85"/>
      <c r="C29" s="193"/>
      <c r="D29" s="86"/>
    </row>
    <row r="30" spans="2:4" x14ac:dyDescent="0.25">
      <c r="B30" s="85" t="s">
        <v>6</v>
      </c>
      <c r="C30" s="243"/>
      <c r="D30" s="86"/>
    </row>
    <row r="31" spans="2:4" x14ac:dyDescent="0.25">
      <c r="B31" s="85"/>
      <c r="C31" s="193"/>
      <c r="D31" s="86"/>
    </row>
    <row r="32" spans="2:4" x14ac:dyDescent="0.25">
      <c r="B32" s="85" t="s">
        <v>7</v>
      </c>
      <c r="C32" s="243"/>
      <c r="D32" s="86"/>
    </row>
    <row r="33" spans="2:4" x14ac:dyDescent="0.25">
      <c r="B33" s="85"/>
      <c r="C33" s="193"/>
      <c r="D33" s="86"/>
    </row>
    <row r="34" spans="2:4" x14ac:dyDescent="0.25">
      <c r="B34" s="85" t="s">
        <v>8</v>
      </c>
      <c r="C34" s="244"/>
      <c r="D34" s="86"/>
    </row>
    <row r="35" spans="2:4" x14ac:dyDescent="0.25">
      <c r="B35" s="87"/>
      <c r="C35" s="4"/>
      <c r="D35" s="88"/>
    </row>
    <row r="36" spans="2:4" x14ac:dyDescent="0.25">
      <c r="B36" s="89" t="s">
        <v>19</v>
      </c>
      <c r="C36" s="245"/>
      <c r="D36" s="90"/>
    </row>
    <row r="37" spans="2:4" x14ac:dyDescent="0.25">
      <c r="B37" s="85"/>
      <c r="C37" s="193"/>
      <c r="D37" s="86"/>
    </row>
    <row r="38" spans="2:4" x14ac:dyDescent="0.25">
      <c r="B38" s="85" t="s">
        <v>6</v>
      </c>
      <c r="C38" s="243"/>
      <c r="D38" s="86"/>
    </row>
    <row r="39" spans="2:4" x14ac:dyDescent="0.25">
      <c r="B39" s="85"/>
      <c r="C39" s="193"/>
      <c r="D39" s="86"/>
    </row>
    <row r="40" spans="2:4" x14ac:dyDescent="0.25">
      <c r="B40" s="85" t="s">
        <v>7</v>
      </c>
      <c r="C40" s="243"/>
      <c r="D40" s="86"/>
    </row>
    <row r="41" spans="2:4" x14ac:dyDescent="0.25">
      <c r="B41" s="85"/>
      <c r="C41" s="193"/>
      <c r="D41" s="86"/>
    </row>
    <row r="42" spans="2:4" x14ac:dyDescent="0.25">
      <c r="B42" s="85" t="s">
        <v>8</v>
      </c>
      <c r="C42" s="244"/>
      <c r="D42" s="86"/>
    </row>
    <row r="43" spans="2:4" ht="15.75" thickBot="1" x14ac:dyDescent="0.3">
      <c r="B43" s="91"/>
      <c r="C43" s="92"/>
      <c r="D43" s="93"/>
    </row>
    <row r="45" spans="2:4" ht="15.75" thickBot="1" x14ac:dyDescent="0.3">
      <c r="B45" s="13" t="s">
        <v>9</v>
      </c>
    </row>
    <row r="46" spans="2:4" x14ac:dyDescent="0.25">
      <c r="B46" s="83" t="s">
        <v>15</v>
      </c>
      <c r="C46" s="235"/>
      <c r="D46" s="84"/>
    </row>
    <row r="47" spans="2:4" x14ac:dyDescent="0.25">
      <c r="B47" s="85"/>
      <c r="C47" s="193"/>
      <c r="D47" s="86"/>
    </row>
    <row r="48" spans="2:4" x14ac:dyDescent="0.25">
      <c r="B48" s="85" t="s">
        <v>6</v>
      </c>
      <c r="C48" s="243"/>
      <c r="D48" s="86"/>
    </row>
    <row r="49" spans="2:4" x14ac:dyDescent="0.25">
      <c r="B49" s="85"/>
      <c r="C49" s="193"/>
      <c r="D49" s="86"/>
    </row>
    <row r="50" spans="2:4" x14ac:dyDescent="0.25">
      <c r="B50" s="85" t="s">
        <v>7</v>
      </c>
      <c r="C50" s="243"/>
      <c r="D50" s="86"/>
    </row>
    <row r="51" spans="2:4" x14ac:dyDescent="0.25">
      <c r="B51" s="85"/>
      <c r="C51" s="193"/>
      <c r="D51" s="86"/>
    </row>
    <row r="52" spans="2:4" x14ac:dyDescent="0.25">
      <c r="B52" s="85" t="s">
        <v>8</v>
      </c>
      <c r="C52" s="243"/>
      <c r="D52" s="86"/>
    </row>
    <row r="53" spans="2:4" x14ac:dyDescent="0.25">
      <c r="B53" s="87"/>
      <c r="C53" s="4"/>
      <c r="D53" s="88"/>
    </row>
    <row r="54" spans="2:4" x14ac:dyDescent="0.25">
      <c r="B54" s="89" t="s">
        <v>16</v>
      </c>
      <c r="C54" s="245"/>
      <c r="D54" s="90"/>
    </row>
    <row r="55" spans="2:4" x14ac:dyDescent="0.25">
      <c r="B55" s="85"/>
      <c r="C55" s="193"/>
      <c r="D55" s="86"/>
    </row>
    <row r="56" spans="2:4" x14ac:dyDescent="0.25">
      <c r="B56" s="85" t="s">
        <v>6</v>
      </c>
      <c r="C56" s="243"/>
      <c r="D56" s="86"/>
    </row>
    <row r="57" spans="2:4" x14ac:dyDescent="0.25">
      <c r="B57" s="85"/>
      <c r="C57" s="193"/>
      <c r="D57" s="86"/>
    </row>
    <row r="58" spans="2:4" x14ac:dyDescent="0.25">
      <c r="B58" s="85" t="s">
        <v>7</v>
      </c>
      <c r="C58" s="243"/>
      <c r="D58" s="86"/>
    </row>
    <row r="59" spans="2:4" x14ac:dyDescent="0.25">
      <c r="B59" s="85"/>
      <c r="C59" s="193"/>
      <c r="D59" s="86"/>
    </row>
    <row r="60" spans="2:4" x14ac:dyDescent="0.25">
      <c r="B60" s="85" t="s">
        <v>8</v>
      </c>
      <c r="C60" s="243"/>
      <c r="D60" s="86"/>
    </row>
    <row r="61" spans="2:4" ht="15.75" thickBot="1" x14ac:dyDescent="0.3">
      <c r="B61" s="91"/>
      <c r="C61" s="92"/>
      <c r="D61" s="93"/>
    </row>
  </sheetData>
  <sheetProtection algorithmName="SHA-512" hashValue="wVTwq6w59Yu7CowT29qJvoEJXVCS6r6KnffEysGEK1Q8Tm1tcmSUO1luCa0S7gjbJxnNTEwqJk8RVf1xt01tRg==" saltValue="k6WJaHW06LPrN4BpANF7Lg==" spinCount="100000" sheet="1" selectLockedCells="1"/>
  <mergeCells count="2">
    <mergeCell ref="C10:F10"/>
    <mergeCell ref="C12:F12"/>
  </mergeCells>
  <conditionalFormatting sqref="E14:F14">
    <cfRule type="expression" dxfId="292" priority="7">
      <formula>$C$14=75%</formula>
    </cfRule>
  </conditionalFormatting>
  <conditionalFormatting sqref="C16:D16">
    <cfRule type="expression" dxfId="291" priority="5">
      <formula>$B$16="COMMUNE"</formula>
    </cfRule>
  </conditionalFormatting>
  <conditionalFormatting sqref="C17">
    <cfRule type="expression" dxfId="290" priority="4">
      <formula>$B$16="COMMUNE"</formula>
    </cfRule>
  </conditionalFormatting>
  <conditionalFormatting sqref="C18">
    <cfRule type="expression" dxfId="289" priority="3">
      <formula>$B$16="COMMUNE"</formula>
    </cfRule>
  </conditionalFormatting>
  <conditionalFormatting sqref="D17">
    <cfRule type="expression" dxfId="288" priority="2">
      <formula>$B$16="COMMUNE"</formula>
    </cfRule>
  </conditionalFormatting>
  <conditionalFormatting sqref="D18">
    <cfRule type="expression" dxfId="287" priority="1">
      <formula>$B$16="COMMUNE"</formula>
    </cfRule>
  </conditionalFormatting>
  <pageMargins left="0.70866141732283472" right="0.70866141732283472" top="0.74803149606299213" bottom="0.74803149606299213" header="0.31496062992125984" footer="0.31496062992125984"/>
  <pageSetup paperSize="9" scale="67" fitToHeight="0" orientation="portrait" r:id="rId1"/>
  <headerFooter>
    <oddHeader>&amp;C&amp;A</oddHeader>
    <oddFooter xml:space="preserve">&amp;R&amp;P/&amp;N
</oddFoot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'Variable et Dropdowns'!$A$2:$A$3</xm:f>
          </x14:formula1>
          <xm:sqref>C12</xm:sqref>
        </x14:dataValidation>
        <x14:dataValidation type="list" allowBlank="1" showInputMessage="1" showErrorMessage="1" xr:uid="{00000000-0002-0000-0000-000001000000}">
          <x14:formula1>
            <xm:f>'Variable et Dropdowns'!$B$2:$B$3</xm:f>
          </x14:formula1>
          <xm:sqref>C14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rgb="FFFFFF00"/>
    <pageSetUpPr fitToPage="1"/>
  </sheetPr>
  <dimension ref="A1:F92"/>
  <sheetViews>
    <sheetView zoomScale="85" zoomScaleNormal="85" workbookViewId="0">
      <selection activeCell="C79" sqref="C79"/>
    </sheetView>
  </sheetViews>
  <sheetFormatPr defaultColWidth="9.140625" defaultRowHeight="15" x14ac:dyDescent="0.25"/>
  <cols>
    <col min="1" max="1" width="9.140625" style="2"/>
    <col min="2" max="2" width="61.85546875" style="2" customWidth="1"/>
    <col min="3" max="3" width="39.28515625" style="2" bestFit="1" customWidth="1"/>
    <col min="4" max="4" width="35.140625" style="2" bestFit="1" customWidth="1"/>
    <col min="5" max="5" width="21.140625" style="2" bestFit="1" customWidth="1"/>
    <col min="6" max="6" width="29.42578125" style="2" customWidth="1"/>
    <col min="7" max="16384" width="9.140625" style="2"/>
  </cols>
  <sheetData>
    <row r="1" spans="2:4" x14ac:dyDescent="0.25">
      <c r="B1" s="11" t="str">
        <f>'Informations générales 1'!B7</f>
        <v>DECOMPTE ANNUEL</v>
      </c>
    </row>
    <row r="2" spans="2:4" x14ac:dyDescent="0.25">
      <c r="B2" s="11" t="str">
        <f>'Informations générales 1'!C20&amp;" - "&amp;'Informations générales 1'!C24</f>
        <v>Nom Gestionnaire - Nom SEA</v>
      </c>
    </row>
    <row r="3" spans="2:4" x14ac:dyDescent="0.25">
      <c r="B3" s="20">
        <f>'Informations générales 1'!C10</f>
        <v>2020</v>
      </c>
    </row>
    <row r="5" spans="2:4" x14ac:dyDescent="0.25">
      <c r="B5" s="11" t="s">
        <v>430</v>
      </c>
    </row>
    <row r="6" spans="2:4" ht="15.75" thickBot="1" x14ac:dyDescent="0.3"/>
    <row r="7" spans="2:4" ht="15.75" thickBot="1" x14ac:dyDescent="0.3">
      <c r="B7" s="254"/>
      <c r="C7" s="255" t="s">
        <v>499</v>
      </c>
      <c r="D7" s="255" t="s">
        <v>500</v>
      </c>
    </row>
    <row r="8" spans="2:4" x14ac:dyDescent="0.25">
      <c r="B8" s="256"/>
      <c r="C8" s="256"/>
      <c r="D8" s="257"/>
    </row>
    <row r="9" spans="2:4" x14ac:dyDescent="0.25">
      <c r="B9" s="256"/>
      <c r="C9" s="256"/>
      <c r="D9" s="257"/>
    </row>
    <row r="10" spans="2:4" x14ac:dyDescent="0.25">
      <c r="B10" s="258" t="s">
        <v>508</v>
      </c>
      <c r="C10" s="259">
        <f>REVEX!F23</f>
        <v>0</v>
      </c>
      <c r="D10" s="260"/>
    </row>
    <row r="11" spans="2:4" x14ac:dyDescent="0.25">
      <c r="B11" s="261" t="s">
        <v>453</v>
      </c>
      <c r="C11" s="262">
        <f>REVEX!F26</f>
        <v>0</v>
      </c>
      <c r="D11" s="263"/>
    </row>
    <row r="12" spans="2:4" ht="15.75" thickBot="1" x14ac:dyDescent="0.3">
      <c r="B12" s="264" t="s">
        <v>501</v>
      </c>
      <c r="C12" s="265"/>
      <c r="D12" s="564">
        <f>IF(C10=0,0,C11/C10)</f>
        <v>0</v>
      </c>
    </row>
    <row r="13" spans="2:4" ht="15.75" thickBot="1" x14ac:dyDescent="0.3">
      <c r="B13" s="266" t="s">
        <v>509</v>
      </c>
      <c r="C13" s="267">
        <f>IF(C10&lt;C11,C11,C10)</f>
        <v>0</v>
      </c>
      <c r="D13" s="268"/>
    </row>
    <row r="14" spans="2:4" x14ac:dyDescent="0.25">
      <c r="B14" s="269"/>
      <c r="C14" s="270"/>
      <c r="D14" s="257"/>
    </row>
    <row r="15" spans="2:4" x14ac:dyDescent="0.25">
      <c r="B15" s="258" t="s">
        <v>451</v>
      </c>
      <c r="C15" s="259">
        <f>REVEX!F24</f>
        <v>0</v>
      </c>
      <c r="D15" s="260"/>
    </row>
    <row r="16" spans="2:4" x14ac:dyDescent="0.25">
      <c r="B16" s="261" t="s">
        <v>510</v>
      </c>
      <c r="C16" s="262">
        <f>REVEX!F27</f>
        <v>0</v>
      </c>
      <c r="D16" s="263"/>
    </row>
    <row r="17" spans="2:6" x14ac:dyDescent="0.25">
      <c r="B17" s="271" t="str">
        <f>IF(C17=0,"","Heures inclusives (1,5%)")</f>
        <v/>
      </c>
      <c r="C17" s="262">
        <f>REVEX!F64</f>
        <v>0</v>
      </c>
      <c r="D17" s="263"/>
    </row>
    <row r="18" spans="2:6" ht="15.75" thickBot="1" x14ac:dyDescent="0.3">
      <c r="B18" s="272" t="str">
        <f>IF(C18=0,"","heures EPL")</f>
        <v/>
      </c>
      <c r="C18" s="273">
        <f>REVEX!F65</f>
        <v>0</v>
      </c>
      <c r="D18" s="274"/>
    </row>
    <row r="19" spans="2:6" ht="15.75" thickBot="1" x14ac:dyDescent="0.3">
      <c r="B19" s="266" t="s">
        <v>502</v>
      </c>
      <c r="C19" s="275">
        <f>REVEX!F66</f>
        <v>0</v>
      </c>
      <c r="D19" s="268"/>
    </row>
    <row r="20" spans="2:6" x14ac:dyDescent="0.25">
      <c r="B20" s="276" t="s">
        <v>503</v>
      </c>
      <c r="C20" s="277">
        <f>REVEX!F67</f>
        <v>0</v>
      </c>
      <c r="D20" s="278"/>
    </row>
    <row r="21" spans="2:6" ht="15.75" thickBot="1" x14ac:dyDescent="0.3">
      <c r="B21" s="279" t="str">
        <f>IF(C21=0,"","Dépassement en heures d'encadrement")</f>
        <v/>
      </c>
      <c r="C21" s="280">
        <f>REVEX!F68</f>
        <v>0</v>
      </c>
      <c r="D21" s="274"/>
    </row>
    <row r="22" spans="2:6" ht="15.75" thickBot="1" x14ac:dyDescent="0.3"/>
    <row r="23" spans="2:6" ht="45.75" thickBot="1" x14ac:dyDescent="0.3">
      <c r="C23" s="526" t="s">
        <v>505</v>
      </c>
      <c r="D23" s="526" t="s">
        <v>506</v>
      </c>
      <c r="E23" s="526" t="s">
        <v>507</v>
      </c>
      <c r="F23" s="527" t="s">
        <v>641</v>
      </c>
    </row>
    <row r="24" spans="2:6" ht="23.25" customHeight="1" thickBot="1" x14ac:dyDescent="0.3">
      <c r="B24" s="281" t="s">
        <v>504</v>
      </c>
      <c r="C24" s="419">
        <f>REVEX!E42+REVEX!F42</f>
        <v>0</v>
      </c>
      <c r="D24" s="419">
        <f>REVEX!F69</f>
        <v>0</v>
      </c>
      <c r="E24" s="420">
        <f>C24-D24</f>
        <v>0</v>
      </c>
      <c r="F24" s="529"/>
    </row>
    <row r="25" spans="2:6" ht="23.25" customHeight="1" thickBot="1" x14ac:dyDescent="0.3">
      <c r="B25" s="282" t="s">
        <v>597</v>
      </c>
      <c r="C25" s="421">
        <f>REVEX!C63</f>
        <v>0</v>
      </c>
      <c r="D25" s="422"/>
      <c r="E25" s="423"/>
      <c r="F25" s="530"/>
    </row>
    <row r="26" spans="2:6" ht="23.25" customHeight="1" thickBot="1" x14ac:dyDescent="0.3">
      <c r="B26" s="281" t="s">
        <v>511</v>
      </c>
      <c r="C26" s="419">
        <f>C27+C28+C33+C42+C46+C50</f>
        <v>0</v>
      </c>
      <c r="D26" s="419">
        <f>REVEX!C69</f>
        <v>0</v>
      </c>
      <c r="E26" s="424">
        <f>C26-D26</f>
        <v>0</v>
      </c>
      <c r="F26" s="424">
        <f>'TABLEAU FINAL COVID'!C26</f>
        <v>0</v>
      </c>
    </row>
    <row r="27" spans="2:6" s="11" customFormat="1" ht="24.75" customHeight="1" thickBot="1" x14ac:dyDescent="0.3">
      <c r="B27" s="283" t="s">
        <v>99</v>
      </c>
      <c r="C27" s="425">
        <f>REVEX!C42+F27</f>
        <v>0</v>
      </c>
      <c r="D27" s="425">
        <f>REVEX!C83</f>
        <v>0</v>
      </c>
      <c r="E27" s="426">
        <f t="shared" ref="E27:E55" si="0">C27-D27</f>
        <v>0</v>
      </c>
      <c r="F27" s="426">
        <f>'TABLEAU FINAL COVID'!C27</f>
        <v>0</v>
      </c>
    </row>
    <row r="28" spans="2:6" s="11" customFormat="1" ht="24.75" customHeight="1" thickBot="1" x14ac:dyDescent="0.3">
      <c r="B28" s="283" t="s">
        <v>498</v>
      </c>
      <c r="C28" s="425">
        <f>SUM(C29:C32)</f>
        <v>0</v>
      </c>
      <c r="D28" s="425">
        <f t="shared" ref="D28:D50" si="1">IF($D$26=0,0,(C28/$C$26)*$D$26)</f>
        <v>0</v>
      </c>
      <c r="E28" s="426">
        <f t="shared" si="0"/>
        <v>0</v>
      </c>
      <c r="F28" s="426">
        <f>'TABLEAU FINAL COVID'!C28</f>
        <v>0</v>
      </c>
    </row>
    <row r="29" spans="2:6" x14ac:dyDescent="0.25">
      <c r="B29" s="284" t="s">
        <v>100</v>
      </c>
      <c r="C29" s="427">
        <f>REVEX!G43+F29</f>
        <v>0</v>
      </c>
      <c r="D29" s="428">
        <f>REVEX!G84</f>
        <v>0</v>
      </c>
      <c r="E29" s="429">
        <f t="shared" si="0"/>
        <v>0</v>
      </c>
      <c r="F29" s="429">
        <f>'TABLEAU FINAL COVID'!C29</f>
        <v>0</v>
      </c>
    </row>
    <row r="30" spans="2:6" x14ac:dyDescent="0.25">
      <c r="B30" s="285" t="s">
        <v>101</v>
      </c>
      <c r="C30" s="430">
        <f>REVEX!G44+F30</f>
        <v>0</v>
      </c>
      <c r="D30" s="431">
        <f>REVEX!G85</f>
        <v>0</v>
      </c>
      <c r="E30" s="432">
        <f t="shared" si="0"/>
        <v>0</v>
      </c>
      <c r="F30" s="432">
        <f>'TABLEAU FINAL COVID'!C30</f>
        <v>0</v>
      </c>
    </row>
    <row r="31" spans="2:6" x14ac:dyDescent="0.25">
      <c r="B31" s="285" t="s">
        <v>102</v>
      </c>
      <c r="C31" s="430">
        <f>REVEX!G45+F31</f>
        <v>0</v>
      </c>
      <c r="D31" s="431">
        <f>REVEX!G86</f>
        <v>0</v>
      </c>
      <c r="E31" s="432">
        <f t="shared" si="0"/>
        <v>0</v>
      </c>
      <c r="F31" s="432">
        <f>'TABLEAU FINAL COVID'!C31</f>
        <v>0</v>
      </c>
    </row>
    <row r="32" spans="2:6" ht="15.75" thickBot="1" x14ac:dyDescent="0.3">
      <c r="B32" s="286" t="s">
        <v>103</v>
      </c>
      <c r="C32" s="433">
        <f>REVEX!G46+F32</f>
        <v>0</v>
      </c>
      <c r="D32" s="434">
        <f>REVEX!G87</f>
        <v>0</v>
      </c>
      <c r="E32" s="435">
        <f t="shared" si="0"/>
        <v>0</v>
      </c>
      <c r="F32" s="435">
        <f>'TABLEAU FINAL COVID'!C32</f>
        <v>0</v>
      </c>
    </row>
    <row r="33" spans="2:6" s="11" customFormat="1" ht="24.75" customHeight="1" thickBot="1" x14ac:dyDescent="0.3">
      <c r="B33" s="283" t="s">
        <v>512</v>
      </c>
      <c r="C33" s="425">
        <f>SUM(C34:C41)</f>
        <v>0</v>
      </c>
      <c r="D33" s="425">
        <f t="shared" si="1"/>
        <v>0</v>
      </c>
      <c r="E33" s="426">
        <f t="shared" si="0"/>
        <v>0</v>
      </c>
      <c r="F33" s="426">
        <f>'TABLEAU FINAL COVID'!C33</f>
        <v>0</v>
      </c>
    </row>
    <row r="34" spans="2:6" x14ac:dyDescent="0.25">
      <c r="B34" s="284" t="s">
        <v>117</v>
      </c>
      <c r="C34" s="427">
        <f>REVEX!G47+F34</f>
        <v>0</v>
      </c>
      <c r="D34" s="428">
        <f>REVEX!G88</f>
        <v>0</v>
      </c>
      <c r="E34" s="429">
        <f t="shared" si="0"/>
        <v>0</v>
      </c>
      <c r="F34" s="429">
        <f>'TABLEAU FINAL COVID'!C34</f>
        <v>0</v>
      </c>
    </row>
    <row r="35" spans="2:6" x14ac:dyDescent="0.25">
      <c r="B35" s="285" t="s">
        <v>104</v>
      </c>
      <c r="C35" s="430">
        <f>REVEX!G48+F35</f>
        <v>0</v>
      </c>
      <c r="D35" s="431">
        <f>REVEX!G89</f>
        <v>0</v>
      </c>
      <c r="E35" s="432">
        <f t="shared" si="0"/>
        <v>0</v>
      </c>
      <c r="F35" s="432">
        <f>'TABLEAU FINAL COVID'!C35</f>
        <v>0</v>
      </c>
    </row>
    <row r="36" spans="2:6" x14ac:dyDescent="0.25">
      <c r="B36" s="285" t="s">
        <v>105</v>
      </c>
      <c r="C36" s="430">
        <f>REVEX!G49+F36</f>
        <v>0</v>
      </c>
      <c r="D36" s="431">
        <f>REVEX!G90</f>
        <v>0</v>
      </c>
      <c r="E36" s="432">
        <f t="shared" si="0"/>
        <v>0</v>
      </c>
      <c r="F36" s="432">
        <f>'TABLEAU FINAL COVID'!C36</f>
        <v>0</v>
      </c>
    </row>
    <row r="37" spans="2:6" x14ac:dyDescent="0.25">
      <c r="B37" s="285" t="s">
        <v>106</v>
      </c>
      <c r="C37" s="430">
        <f>REVEX!G50+F37</f>
        <v>0</v>
      </c>
      <c r="D37" s="431">
        <f>REVEX!G91</f>
        <v>0</v>
      </c>
      <c r="E37" s="432">
        <f t="shared" si="0"/>
        <v>0</v>
      </c>
      <c r="F37" s="432">
        <f>'TABLEAU FINAL COVID'!C37</f>
        <v>0</v>
      </c>
    </row>
    <row r="38" spans="2:6" x14ac:dyDescent="0.25">
      <c r="B38" s="285" t="s">
        <v>107</v>
      </c>
      <c r="C38" s="430">
        <f>REVEX!G51+F38</f>
        <v>0</v>
      </c>
      <c r="D38" s="431">
        <f>REVEX!G92</f>
        <v>0</v>
      </c>
      <c r="E38" s="432">
        <f t="shared" si="0"/>
        <v>0</v>
      </c>
      <c r="F38" s="432">
        <f>'TABLEAU FINAL COVID'!C38</f>
        <v>0</v>
      </c>
    </row>
    <row r="39" spans="2:6" x14ac:dyDescent="0.25">
      <c r="B39" s="285" t="s">
        <v>108</v>
      </c>
      <c r="C39" s="430">
        <f>REVEX!G52+F39</f>
        <v>0</v>
      </c>
      <c r="D39" s="431">
        <f>REVEX!G93</f>
        <v>0</v>
      </c>
      <c r="E39" s="432">
        <f t="shared" si="0"/>
        <v>0</v>
      </c>
      <c r="F39" s="432">
        <f>'TABLEAU FINAL COVID'!C39</f>
        <v>0</v>
      </c>
    </row>
    <row r="40" spans="2:6" x14ac:dyDescent="0.25">
      <c r="B40" s="285" t="s">
        <v>109</v>
      </c>
      <c r="C40" s="430">
        <f>REVEX!G53+F40</f>
        <v>0</v>
      </c>
      <c r="D40" s="431">
        <f>REVEX!G94</f>
        <v>0</v>
      </c>
      <c r="E40" s="432">
        <f t="shared" si="0"/>
        <v>0</v>
      </c>
      <c r="F40" s="432">
        <f>'TABLEAU FINAL COVID'!C40</f>
        <v>0</v>
      </c>
    </row>
    <row r="41" spans="2:6" ht="15.75" thickBot="1" x14ac:dyDescent="0.3">
      <c r="B41" s="286" t="s">
        <v>110</v>
      </c>
      <c r="C41" s="433">
        <f>REVEX!G54+F41</f>
        <v>0</v>
      </c>
      <c r="D41" s="434">
        <f>REVEX!G95</f>
        <v>0</v>
      </c>
      <c r="E41" s="435">
        <f t="shared" si="0"/>
        <v>0</v>
      </c>
      <c r="F41" s="435">
        <f>'TABLEAU FINAL COVID'!C41</f>
        <v>0</v>
      </c>
    </row>
    <row r="42" spans="2:6" s="11" customFormat="1" ht="24.75" customHeight="1" thickBot="1" x14ac:dyDescent="0.3">
      <c r="B42" s="283" t="s">
        <v>428</v>
      </c>
      <c r="C42" s="425">
        <f>SUM(C43:C45)</f>
        <v>0</v>
      </c>
      <c r="D42" s="425">
        <f t="shared" si="1"/>
        <v>0</v>
      </c>
      <c r="E42" s="426">
        <f t="shared" si="0"/>
        <v>0</v>
      </c>
      <c r="F42" s="426">
        <f>'TABLEAU FINAL COVID'!C42</f>
        <v>0</v>
      </c>
    </row>
    <row r="43" spans="2:6" x14ac:dyDescent="0.25">
      <c r="B43" s="284" t="s">
        <v>111</v>
      </c>
      <c r="C43" s="427">
        <f>REVEX!G55+F43</f>
        <v>0</v>
      </c>
      <c r="D43" s="428">
        <f>REVEX!G96</f>
        <v>0</v>
      </c>
      <c r="E43" s="429">
        <f t="shared" si="0"/>
        <v>0</v>
      </c>
      <c r="F43" s="429">
        <f>'TABLEAU FINAL COVID'!C43</f>
        <v>0</v>
      </c>
    </row>
    <row r="44" spans="2:6" x14ac:dyDescent="0.25">
      <c r="B44" s="285" t="s">
        <v>112</v>
      </c>
      <c r="C44" s="430">
        <f>REVEX!G56+F44</f>
        <v>0</v>
      </c>
      <c r="D44" s="431">
        <f>REVEX!G97</f>
        <v>0</v>
      </c>
      <c r="E44" s="432">
        <f t="shared" si="0"/>
        <v>0</v>
      </c>
      <c r="F44" s="432">
        <f>'TABLEAU FINAL COVID'!C44</f>
        <v>0</v>
      </c>
    </row>
    <row r="45" spans="2:6" ht="15.75" thickBot="1" x14ac:dyDescent="0.3">
      <c r="B45" s="287" t="s">
        <v>423</v>
      </c>
      <c r="C45" s="430">
        <f>-REVEX!C75</f>
        <v>0</v>
      </c>
      <c r="D45" s="431"/>
      <c r="E45" s="432">
        <f t="shared" si="0"/>
        <v>0</v>
      </c>
      <c r="F45" s="432"/>
    </row>
    <row r="46" spans="2:6" s="11" customFormat="1" ht="24.75" customHeight="1" thickBot="1" x14ac:dyDescent="0.3">
      <c r="B46" s="283" t="s">
        <v>429</v>
      </c>
      <c r="C46" s="425">
        <f>SUM(C47:C49)</f>
        <v>0</v>
      </c>
      <c r="D46" s="425">
        <f t="shared" si="1"/>
        <v>0</v>
      </c>
      <c r="E46" s="426">
        <f t="shared" si="0"/>
        <v>0</v>
      </c>
      <c r="F46" s="426">
        <f>'TABLEAU FINAL COVID'!C46</f>
        <v>0</v>
      </c>
    </row>
    <row r="47" spans="2:6" x14ac:dyDescent="0.25">
      <c r="B47" s="284" t="s">
        <v>113</v>
      </c>
      <c r="C47" s="427">
        <f>REVEX!G57+F47</f>
        <v>0</v>
      </c>
      <c r="D47" s="428">
        <f>REVEX!G98</f>
        <v>0</v>
      </c>
      <c r="E47" s="429">
        <f t="shared" si="0"/>
        <v>0</v>
      </c>
      <c r="F47" s="429">
        <f>'TABLEAU FINAL COVID'!C47</f>
        <v>0</v>
      </c>
    </row>
    <row r="48" spans="2:6" x14ac:dyDescent="0.25">
      <c r="B48" s="285" t="s">
        <v>114</v>
      </c>
      <c r="C48" s="430">
        <f>REVEX!G58+F48</f>
        <v>0</v>
      </c>
      <c r="D48" s="431">
        <f>REVEX!G99</f>
        <v>0</v>
      </c>
      <c r="E48" s="432">
        <f t="shared" si="0"/>
        <v>0</v>
      </c>
      <c r="F48" s="432">
        <f>'TABLEAU FINAL COVID'!C48</f>
        <v>0</v>
      </c>
    </row>
    <row r="49" spans="2:6" ht="15.75" thickBot="1" x14ac:dyDescent="0.3">
      <c r="B49" s="287" t="s">
        <v>423</v>
      </c>
      <c r="C49" s="430">
        <f>-REVEX!C76</f>
        <v>0</v>
      </c>
      <c r="D49" s="431"/>
      <c r="E49" s="432">
        <f t="shared" si="0"/>
        <v>0</v>
      </c>
      <c r="F49" s="432"/>
    </row>
    <row r="50" spans="2:6" s="11" customFormat="1" ht="24.75" customHeight="1" thickBot="1" x14ac:dyDescent="0.3">
      <c r="B50" s="283" t="s">
        <v>115</v>
      </c>
      <c r="C50" s="425">
        <f>SUM(C51:C52)</f>
        <v>0</v>
      </c>
      <c r="D50" s="425">
        <f t="shared" si="1"/>
        <v>0</v>
      </c>
      <c r="E50" s="426">
        <f t="shared" si="0"/>
        <v>0</v>
      </c>
      <c r="F50" s="426">
        <f>'TABLEAU FINAL COVID'!C50</f>
        <v>0</v>
      </c>
    </row>
    <row r="51" spans="2:6" s="11" customFormat="1" ht="15.75" thickBot="1" x14ac:dyDescent="0.3">
      <c r="B51" s="284" t="s">
        <v>115</v>
      </c>
      <c r="C51" s="427">
        <f>REVEX!G59+F51</f>
        <v>0</v>
      </c>
      <c r="D51" s="428">
        <f>REVEX!G100</f>
        <v>0</v>
      </c>
      <c r="E51" s="429">
        <f t="shared" si="0"/>
        <v>0</v>
      </c>
      <c r="F51" s="528">
        <f>'TABLEAU FINAL COVID'!C51</f>
        <v>0</v>
      </c>
    </row>
    <row r="52" spans="2:6" s="11" customFormat="1" ht="15.75" thickBot="1" x14ac:dyDescent="0.3">
      <c r="B52" s="287" t="s">
        <v>423</v>
      </c>
      <c r="C52" s="430">
        <f>-REVEX!C77</f>
        <v>0</v>
      </c>
      <c r="D52" s="431"/>
      <c r="E52" s="432">
        <f t="shared" si="0"/>
        <v>0</v>
      </c>
      <c r="F52" s="531"/>
    </row>
    <row r="53" spans="2:6" s="11" customFormat="1" ht="24.75" customHeight="1" thickBot="1" x14ac:dyDescent="0.3">
      <c r="B53" s="289" t="s">
        <v>423</v>
      </c>
      <c r="C53" s="436">
        <f>SUM(C54:C55)</f>
        <v>0</v>
      </c>
      <c r="D53" s="436"/>
      <c r="E53" s="437">
        <f t="shared" si="0"/>
        <v>0</v>
      </c>
      <c r="F53" s="532"/>
    </row>
    <row r="54" spans="2:6" s="11" customFormat="1" x14ac:dyDescent="0.25">
      <c r="B54" s="284" t="s">
        <v>426</v>
      </c>
      <c r="C54" s="427">
        <f>-REVEX!C73</f>
        <v>0</v>
      </c>
      <c r="D54" s="428"/>
      <c r="E54" s="429">
        <f t="shared" si="0"/>
        <v>0</v>
      </c>
      <c r="F54" s="533"/>
    </row>
    <row r="55" spans="2:6" s="11" customFormat="1" ht="15.75" thickBot="1" x14ac:dyDescent="0.3">
      <c r="B55" s="286" t="s">
        <v>207</v>
      </c>
      <c r="C55" s="433">
        <f>-REVEX!C79</f>
        <v>0</v>
      </c>
      <c r="D55" s="434"/>
      <c r="E55" s="435">
        <f t="shared" si="0"/>
        <v>0</v>
      </c>
      <c r="F55" s="533"/>
    </row>
    <row r="56" spans="2:6" s="11" customFormat="1" ht="15" customHeight="1" thickBot="1" x14ac:dyDescent="0.3">
      <c r="B56" s="288"/>
      <c r="C56" s="438" t="s">
        <v>505</v>
      </c>
      <c r="D56" s="438" t="s">
        <v>506</v>
      </c>
      <c r="E56" s="438" t="s">
        <v>507</v>
      </c>
    </row>
    <row r="57" spans="2:6" ht="25.5" customHeight="1" thickBot="1" x14ac:dyDescent="0.3">
      <c r="B57" s="289" t="s">
        <v>116</v>
      </c>
      <c r="C57" s="436">
        <f>SUM(C58,C61,C62)</f>
        <v>0</v>
      </c>
      <c r="D57" s="436">
        <f>SUM(D58,D61)</f>
        <v>0</v>
      </c>
      <c r="E57" s="437">
        <f>SUM(E58,E61,E62)</f>
        <v>0</v>
      </c>
    </row>
    <row r="58" spans="2:6" ht="25.5" customHeight="1" x14ac:dyDescent="0.25">
      <c r="B58" s="290" t="s">
        <v>545</v>
      </c>
      <c r="C58" s="439">
        <f>REVEX!C60</f>
        <v>0</v>
      </c>
      <c r="D58" s="439">
        <f>REVEX!C101</f>
        <v>0</v>
      </c>
      <c r="E58" s="440">
        <f t="shared" ref="E58:E62" si="2">C58-D58</f>
        <v>0</v>
      </c>
    </row>
    <row r="59" spans="2:6" ht="25.5" customHeight="1" x14ac:dyDescent="0.25">
      <c r="B59" s="413" t="s">
        <v>526</v>
      </c>
      <c r="C59" s="414" t="s">
        <v>489</v>
      </c>
      <c r="D59" s="414" t="s">
        <v>490</v>
      </c>
      <c r="E59" s="415"/>
    </row>
    <row r="60" spans="2:6" ht="25.5" customHeight="1" x14ac:dyDescent="0.25">
      <c r="B60" s="461">
        <f>REVEX!H66</f>
        <v>0</v>
      </c>
      <c r="C60" s="462">
        <f>REVEX!H67</f>
        <v>0</v>
      </c>
      <c r="D60" s="462">
        <f>REVEX!H68</f>
        <v>0</v>
      </c>
      <c r="E60" s="415"/>
    </row>
    <row r="61" spans="2:6" ht="25.5" customHeight="1" x14ac:dyDescent="0.25">
      <c r="B61" s="291" t="s">
        <v>546</v>
      </c>
      <c r="C61" s="441">
        <f>REVEX!E60+REVEX!F60</f>
        <v>0</v>
      </c>
      <c r="D61" s="441">
        <f>REVEX!E101+REVEX!F101</f>
        <v>0</v>
      </c>
      <c r="E61" s="442">
        <f t="shared" si="2"/>
        <v>0</v>
      </c>
    </row>
    <row r="62" spans="2:6" ht="25.5" customHeight="1" thickBot="1" x14ac:dyDescent="0.3">
      <c r="B62" s="292" t="s">
        <v>423</v>
      </c>
      <c r="C62" s="443">
        <f>-REVEX!C78</f>
        <v>0</v>
      </c>
      <c r="D62" s="443"/>
      <c r="E62" s="444">
        <f t="shared" si="2"/>
        <v>0</v>
      </c>
    </row>
    <row r="63" spans="2:6" ht="15.75" thickBot="1" x14ac:dyDescent="0.3"/>
    <row r="64" spans="2:6" ht="39" customHeight="1" thickBot="1" x14ac:dyDescent="0.3">
      <c r="B64" s="293" t="s">
        <v>514</v>
      </c>
      <c r="C64" s="294"/>
      <c r="D64" s="295">
        <f>E24+E26+E57+E53</f>
        <v>0</v>
      </c>
      <c r="E64" s="296"/>
    </row>
    <row r="65" spans="1:6" ht="15.75" thickBot="1" x14ac:dyDescent="0.3"/>
    <row r="66" spans="1:6" ht="15.75" thickBot="1" x14ac:dyDescent="0.3">
      <c r="B66" s="509"/>
      <c r="C66" s="510" t="s">
        <v>499</v>
      </c>
      <c r="D66" s="511"/>
      <c r="E66" s="512" t="s">
        <v>515</v>
      </c>
    </row>
    <row r="67" spans="1:6" x14ac:dyDescent="0.25">
      <c r="B67" s="513" t="s">
        <v>516</v>
      </c>
      <c r="C67" s="514">
        <f>REVEX!K27</f>
        <v>0</v>
      </c>
      <c r="D67" s="313"/>
      <c r="E67" s="515">
        <f>C67*0.71</f>
        <v>0</v>
      </c>
    </row>
    <row r="68" spans="1:6" x14ac:dyDescent="0.25">
      <c r="B68" s="513" t="s">
        <v>517</v>
      </c>
      <c r="C68" s="514">
        <f>REVEX!K28</f>
        <v>0</v>
      </c>
      <c r="D68" s="313"/>
      <c r="E68" s="515">
        <f>C68*6</f>
        <v>0</v>
      </c>
    </row>
    <row r="69" spans="1:6" ht="15.75" thickBot="1" x14ac:dyDescent="0.3">
      <c r="B69" s="516" t="s">
        <v>518</v>
      </c>
      <c r="C69" s="517"/>
      <c r="D69" s="518"/>
      <c r="E69" s="519">
        <f>SUM(E67:E68)</f>
        <v>0</v>
      </c>
    </row>
    <row r="70" spans="1:6" x14ac:dyDescent="0.25">
      <c r="B70" s="520"/>
      <c r="C70" s="313"/>
      <c r="D70" s="313"/>
      <c r="E70" s="521"/>
    </row>
    <row r="71" spans="1:6" ht="15.75" thickBot="1" x14ac:dyDescent="0.3">
      <c r="B71" s="520" t="s">
        <v>642</v>
      </c>
      <c r="C71" s="313"/>
      <c r="D71" s="313"/>
      <c r="E71" s="521"/>
    </row>
    <row r="72" spans="1:6" ht="15.75" thickBot="1" x14ac:dyDescent="0.3">
      <c r="B72" s="525"/>
      <c r="C72" s="255" t="s">
        <v>505</v>
      </c>
      <c r="D72" s="255" t="s">
        <v>621</v>
      </c>
      <c r="E72" s="255" t="s">
        <v>623</v>
      </c>
    </row>
    <row r="73" spans="1:6" ht="45.75" thickBot="1" x14ac:dyDescent="0.3">
      <c r="A73" s="534">
        <v>1</v>
      </c>
      <c r="B73" s="524" t="str">
        <f>"heures prestées en COVID entre 8:00 et 13:00 - "&amp;TEXT(A73, "0%")&amp;" à charge de l'Etat
(période du 25/05/2020 - 15/07/2020)"</f>
        <v>heures prestées en COVID entre 8:00 et 13:00 - 100% à charge de l'Etat
(période du 25/05/2020 - 15/07/2020)</v>
      </c>
      <c r="C73" s="522">
        <f>REVEX!E207+REVEX!G207</f>
        <v>0</v>
      </c>
      <c r="D73" s="420">
        <f>C73*A73</f>
        <v>0</v>
      </c>
      <c r="E73" s="420">
        <f>(1-A73)*C73</f>
        <v>0</v>
      </c>
    </row>
    <row r="74" spans="1:6" ht="30.75" thickBot="1" x14ac:dyDescent="0.3">
      <c r="A74" s="534">
        <f>'Informations générales 1'!$C$14</f>
        <v>0.75</v>
      </c>
      <c r="B74" s="523" t="str">
        <f>"heures additionnelles Avenant / personnel engagé spécifique COVID jusqu'au 31/12/2020 "&amp;TEXT(A74,"0%")&amp;" à charge de l'Etat"</f>
        <v>heures additionnelles Avenant / personnel engagé spécifique COVID jusqu'au 31/12/2020 75% à charge de l'Etat</v>
      </c>
      <c r="C74" s="522">
        <f>REVEX!F207+REVEX!H207</f>
        <v>0</v>
      </c>
      <c r="D74" s="420">
        <f>C74*A74</f>
        <v>0</v>
      </c>
      <c r="E74" s="420">
        <f>(1-A74)*C74</f>
        <v>0</v>
      </c>
    </row>
    <row r="75" spans="1:6" ht="15.75" thickBot="1" x14ac:dyDescent="0.3">
      <c r="C75" s="313"/>
      <c r="D75" s="313"/>
      <c r="E75" s="521"/>
    </row>
    <row r="76" spans="1:6" ht="16.5" thickBot="1" x14ac:dyDescent="0.3">
      <c r="B76" s="305" t="s">
        <v>523</v>
      </c>
      <c r="C76" s="306" t="s">
        <v>524</v>
      </c>
      <c r="D76" s="306" t="s">
        <v>525</v>
      </c>
      <c r="E76" s="307" t="s">
        <v>311</v>
      </c>
      <c r="F76" s="3"/>
    </row>
    <row r="77" spans="1:6" ht="15.75" x14ac:dyDescent="0.25">
      <c r="B77" s="308" t="str">
        <f>"MENJE "&amp;'Informations générales 1'!C14*100 &amp;"%"</f>
        <v>MENJE 75%</v>
      </c>
      <c r="C77" s="445">
        <f>(D64+C73+C74)-C78</f>
        <v>0</v>
      </c>
      <c r="D77" s="445">
        <f>REVEX!C72</f>
        <v>0</v>
      </c>
      <c r="E77" s="446">
        <f>C77-D77</f>
        <v>0</v>
      </c>
      <c r="F77" s="3"/>
    </row>
    <row r="78" spans="1:6" ht="16.5" thickBot="1" x14ac:dyDescent="0.3">
      <c r="B78" s="309" t="str">
        <f>"Commune "&amp;(1-'Informations générales 1'!C14)*100&amp;"%"</f>
        <v>Commune 25%</v>
      </c>
      <c r="C78" s="447">
        <f>((D64-E69)*(1-REVEX!E13))+E73+E74</f>
        <v>0</v>
      </c>
      <c r="D78" s="447">
        <f>REVEX!C74</f>
        <v>0</v>
      </c>
      <c r="E78" s="448">
        <f>C78-D78</f>
        <v>0</v>
      </c>
      <c r="F78" s="3"/>
    </row>
    <row r="80" spans="1:6" hidden="1" x14ac:dyDescent="0.25">
      <c r="B80" s="310" t="s">
        <v>527</v>
      </c>
      <c r="C80" s="311"/>
    </row>
    <row r="81" spans="2:5" ht="15.75" hidden="1" thickBot="1" x14ac:dyDescent="0.3">
      <c r="B81" s="312" t="s">
        <v>528</v>
      </c>
      <c r="C81" s="449">
        <f>BPI!F13</f>
        <v>0</v>
      </c>
    </row>
    <row r="82" spans="2:5" x14ac:dyDescent="0.25">
      <c r="B82" s="313"/>
      <c r="C82" s="314"/>
    </row>
    <row r="83" spans="2:5" x14ac:dyDescent="0.25">
      <c r="B83" s="315"/>
      <c r="C83" s="316"/>
      <c r="D83" s="316"/>
      <c r="E83" s="317"/>
    </row>
    <row r="84" spans="2:5" ht="15.75" x14ac:dyDescent="0.25">
      <c r="B84" s="318" t="s">
        <v>519</v>
      </c>
      <c r="C84" s="571">
        <f ca="1">TODAY()</f>
        <v>44307</v>
      </c>
      <c r="D84" s="571"/>
      <c r="E84" s="319"/>
    </row>
    <row r="85" spans="2:5" ht="15.75" x14ac:dyDescent="0.25">
      <c r="B85" s="318"/>
      <c r="C85" s="320"/>
      <c r="D85" s="320"/>
      <c r="E85" s="319"/>
    </row>
    <row r="86" spans="2:5" ht="15.75" x14ac:dyDescent="0.25">
      <c r="B86" s="318"/>
      <c r="C86" s="320"/>
      <c r="D86" s="320"/>
      <c r="E86" s="319"/>
    </row>
    <row r="87" spans="2:5" ht="15.75" x14ac:dyDescent="0.25">
      <c r="B87" s="318" t="s">
        <v>520</v>
      </c>
      <c r="C87" s="321"/>
      <c r="D87" s="321"/>
      <c r="E87" s="319"/>
    </row>
    <row r="88" spans="2:5" ht="15.75" x14ac:dyDescent="0.25">
      <c r="B88" s="318"/>
      <c r="C88" s="572" t="s">
        <v>521</v>
      </c>
      <c r="D88" s="572"/>
      <c r="E88" s="319"/>
    </row>
    <row r="89" spans="2:5" ht="15.75" x14ac:dyDescent="0.25">
      <c r="B89" s="318"/>
      <c r="C89" s="320"/>
      <c r="D89" s="320"/>
      <c r="E89" s="319"/>
    </row>
    <row r="90" spans="2:5" ht="15.75" x14ac:dyDescent="0.25">
      <c r="B90" s="318"/>
      <c r="C90" s="320"/>
      <c r="D90" s="320"/>
      <c r="E90" s="319"/>
    </row>
    <row r="91" spans="2:5" ht="15.75" x14ac:dyDescent="0.25">
      <c r="B91" s="318" t="s">
        <v>522</v>
      </c>
      <c r="C91" s="321"/>
      <c r="D91" s="321"/>
      <c r="E91" s="319"/>
    </row>
    <row r="92" spans="2:5" ht="15.75" x14ac:dyDescent="0.25">
      <c r="B92" s="322"/>
      <c r="C92" s="321"/>
      <c r="D92" s="321"/>
      <c r="E92" s="323"/>
    </row>
  </sheetData>
  <sheetProtection algorithmName="SHA-512" hashValue="oh+DFwTkFKcJailjo81+gkOQGyZ4LE3xXLQGYDcOcmuIeDYYfjkkKHXRbZNC62c9iKttQQuf3k/tdw05VdOcyg==" saltValue="/Tficz4StQXKZdgVGVfTsw==" spinCount="100000" sheet="1" selectLockedCells="1"/>
  <mergeCells count="2">
    <mergeCell ref="C84:D84"/>
    <mergeCell ref="C88:D88"/>
  </mergeCells>
  <pageMargins left="0.7" right="0.7" top="0.75" bottom="0.75" header="0.3" footer="0.3"/>
  <pageSetup paperSize="9" scale="4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46A6A-DF1D-4052-B51B-C04853282D28}">
  <sheetPr>
    <tabColor rgb="FFFFFF00"/>
    <pageSetUpPr fitToPage="1"/>
  </sheetPr>
  <dimension ref="B1:F87"/>
  <sheetViews>
    <sheetView topLeftCell="B35" zoomScale="85" zoomScaleNormal="85" workbookViewId="0">
      <selection activeCell="C42" sqref="C42"/>
    </sheetView>
  </sheetViews>
  <sheetFormatPr defaultColWidth="9.140625" defaultRowHeight="15" x14ac:dyDescent="0.25"/>
  <cols>
    <col min="1" max="1" width="9.140625" style="2"/>
    <col min="2" max="2" width="87.7109375" style="2" bestFit="1" customWidth="1"/>
    <col min="3" max="3" width="39.28515625" style="2" bestFit="1" customWidth="1"/>
    <col min="4" max="4" width="35.140625" style="465" customWidth="1"/>
    <col min="5" max="5" width="16.28515625" style="2" bestFit="1" customWidth="1"/>
    <col min="6" max="6" width="22.28515625" style="2" bestFit="1" customWidth="1"/>
    <col min="7" max="16384" width="9.140625" style="2"/>
  </cols>
  <sheetData>
    <row r="1" spans="2:4" x14ac:dyDescent="0.25">
      <c r="B1" s="11" t="str">
        <f>'Informations générales 1'!B7</f>
        <v>DECOMPTE ANNUEL</v>
      </c>
    </row>
    <row r="2" spans="2:4" x14ac:dyDescent="0.25">
      <c r="B2" s="11" t="str">
        <f>'Informations générales 1'!C20&amp;" - "&amp;'Informations générales 1'!C24</f>
        <v>Nom Gestionnaire - Nom SEA</v>
      </c>
    </row>
    <row r="3" spans="2:4" x14ac:dyDescent="0.25">
      <c r="B3" s="20">
        <f>'Informations générales 1'!C10</f>
        <v>2020</v>
      </c>
    </row>
    <row r="5" spans="2:4" x14ac:dyDescent="0.25">
      <c r="B5" s="11" t="s">
        <v>619</v>
      </c>
    </row>
    <row r="7" spans="2:4" ht="15.75" hidden="1" thickBot="1" x14ac:dyDescent="0.3">
      <c r="B7" s="254"/>
      <c r="C7" s="255" t="s">
        <v>499</v>
      </c>
      <c r="D7" s="466" t="s">
        <v>500</v>
      </c>
    </row>
    <row r="8" spans="2:4" hidden="1" x14ac:dyDescent="0.25">
      <c r="B8" s="256"/>
      <c r="C8" s="256"/>
      <c r="D8" s="467"/>
    </row>
    <row r="9" spans="2:4" hidden="1" x14ac:dyDescent="0.25">
      <c r="B9" s="256"/>
      <c r="C9" s="256"/>
      <c r="D9" s="467"/>
    </row>
    <row r="10" spans="2:4" hidden="1" x14ac:dyDescent="0.25">
      <c r="B10" s="258" t="s">
        <v>508</v>
      </c>
      <c r="C10" s="259">
        <f>REVEX!F23</f>
        <v>0</v>
      </c>
      <c r="D10" s="468"/>
    </row>
    <row r="11" spans="2:4" hidden="1" x14ac:dyDescent="0.25">
      <c r="B11" s="261" t="s">
        <v>453</v>
      </c>
      <c r="C11" s="262">
        <f>REVEX!F26</f>
        <v>0</v>
      </c>
      <c r="D11" s="469"/>
    </row>
    <row r="12" spans="2:4" hidden="1" x14ac:dyDescent="0.25">
      <c r="B12" s="264" t="s">
        <v>501</v>
      </c>
      <c r="C12" s="265"/>
      <c r="D12" s="470">
        <f>IF(C10=0,0,C11/C10)</f>
        <v>0</v>
      </c>
    </row>
    <row r="13" spans="2:4" ht="15.75" hidden="1" thickBot="1" x14ac:dyDescent="0.3">
      <c r="B13" s="266" t="s">
        <v>509</v>
      </c>
      <c r="C13" s="267">
        <f>IF(C10&lt;C11,C11,C10)</f>
        <v>0</v>
      </c>
      <c r="D13" s="471"/>
    </row>
    <row r="14" spans="2:4" hidden="1" x14ac:dyDescent="0.25">
      <c r="B14" s="269"/>
      <c r="C14" s="270"/>
      <c r="D14" s="467"/>
    </row>
    <row r="15" spans="2:4" hidden="1" x14ac:dyDescent="0.25">
      <c r="B15" s="258" t="s">
        <v>451</v>
      </c>
      <c r="C15" s="259">
        <f>REVEX!F24</f>
        <v>0</v>
      </c>
      <c r="D15" s="468"/>
    </row>
    <row r="16" spans="2:4" hidden="1" x14ac:dyDescent="0.25">
      <c r="B16" s="261" t="s">
        <v>510</v>
      </c>
      <c r="C16" s="262">
        <f>REVEX!F27</f>
        <v>0</v>
      </c>
      <c r="D16" s="469"/>
    </row>
    <row r="17" spans="2:6" hidden="1" x14ac:dyDescent="0.25">
      <c r="B17" s="271" t="str">
        <f>IF(C17=0,"","Heures inclusives (1,5%)")</f>
        <v/>
      </c>
      <c r="C17" s="262">
        <f>REVEX!F64</f>
        <v>0</v>
      </c>
      <c r="D17" s="469"/>
    </row>
    <row r="18" spans="2:6" ht="15.75" hidden="1" thickBot="1" x14ac:dyDescent="0.3">
      <c r="B18" s="272" t="str">
        <f>IF(C18=0,"","heures EPL")</f>
        <v/>
      </c>
      <c r="C18" s="273">
        <f>REVEX!F65</f>
        <v>0</v>
      </c>
      <c r="D18" s="472"/>
    </row>
    <row r="19" spans="2:6" ht="15.75" hidden="1" thickBot="1" x14ac:dyDescent="0.3">
      <c r="B19" s="266" t="s">
        <v>502</v>
      </c>
      <c r="C19" s="275">
        <f>REVEX!F66</f>
        <v>0</v>
      </c>
      <c r="D19" s="471"/>
    </row>
    <row r="20" spans="2:6" hidden="1" x14ac:dyDescent="0.25">
      <c r="B20" s="276" t="s">
        <v>503</v>
      </c>
      <c r="C20" s="277">
        <f>REVEX!F67</f>
        <v>0</v>
      </c>
      <c r="D20" s="473"/>
    </row>
    <row r="21" spans="2:6" ht="15.75" hidden="1" thickBot="1" x14ac:dyDescent="0.3">
      <c r="B21" s="279" t="str">
        <f>IF(C21=0,"","Dépassement en heures d'encadrement")</f>
        <v/>
      </c>
      <c r="C21" s="280">
        <f>REVEX!F68</f>
        <v>0</v>
      </c>
      <c r="D21" s="472"/>
    </row>
    <row r="22" spans="2:6" ht="15.75" thickBot="1" x14ac:dyDescent="0.3"/>
    <row r="23" spans="2:6" ht="15.75" thickBot="1" x14ac:dyDescent="0.3">
      <c r="C23" s="255" t="s">
        <v>505</v>
      </c>
      <c r="D23" s="466" t="s">
        <v>622</v>
      </c>
      <c r="E23" s="255" t="s">
        <v>621</v>
      </c>
      <c r="F23" s="255" t="s">
        <v>623</v>
      </c>
    </row>
    <row r="24" spans="2:6" ht="23.25" customHeight="1" thickBot="1" x14ac:dyDescent="0.3">
      <c r="B24" s="281" t="s">
        <v>633</v>
      </c>
      <c r="C24" s="419">
        <f>REVEX!E207+REVEX!G207</f>
        <v>0</v>
      </c>
      <c r="D24" s="474">
        <v>1</v>
      </c>
      <c r="E24" s="420">
        <f>C24*D24</f>
        <v>0</v>
      </c>
      <c r="F24" s="420">
        <f>(1-D24)*E24</f>
        <v>0</v>
      </c>
    </row>
    <row r="25" spans="2:6" ht="23.25" customHeight="1" thickBot="1" x14ac:dyDescent="0.3">
      <c r="B25" s="281" t="s">
        <v>634</v>
      </c>
      <c r="C25" s="419">
        <f>REVEX!F207+REVEX!H207</f>
        <v>0</v>
      </c>
      <c r="D25" s="500">
        <f>'Informations générales 1'!$C$14</f>
        <v>0.75</v>
      </c>
      <c r="E25" s="420">
        <f t="shared" ref="E25:E51" si="0">C25*D25</f>
        <v>0</v>
      </c>
      <c r="F25" s="420">
        <f>(1-D25)*E25</f>
        <v>0</v>
      </c>
    </row>
    <row r="26" spans="2:6" ht="23.25" customHeight="1" thickBot="1" x14ac:dyDescent="0.3">
      <c r="B26" s="281" t="s">
        <v>630</v>
      </c>
      <c r="C26" s="419">
        <f>C27+C28+C33+C42+C46+C50</f>
        <v>0</v>
      </c>
      <c r="D26" s="474"/>
      <c r="E26" s="424">
        <f>E27+E28+E33+E42+E46+E50</f>
        <v>0</v>
      </c>
      <c r="F26" s="424">
        <f>F27+F28+F33+F42+F46+F50</f>
        <v>0</v>
      </c>
    </row>
    <row r="27" spans="2:6" s="11" customFormat="1" ht="24.75" customHeight="1" thickBot="1" x14ac:dyDescent="0.3">
      <c r="B27" s="283" t="s">
        <v>99</v>
      </c>
      <c r="C27" s="425">
        <f>REVEX!D188</f>
        <v>0</v>
      </c>
      <c r="D27" s="475">
        <f>'Informations générales 1'!$C$14</f>
        <v>0.75</v>
      </c>
      <c r="E27" s="426">
        <f t="shared" si="0"/>
        <v>0</v>
      </c>
      <c r="F27" s="426">
        <f t="shared" ref="F27:F51" si="1">(1-D27)*E27</f>
        <v>0</v>
      </c>
    </row>
    <row r="28" spans="2:6" s="11" customFormat="1" ht="24.75" customHeight="1" thickBot="1" x14ac:dyDescent="0.3">
      <c r="B28" s="283" t="s">
        <v>498</v>
      </c>
      <c r="C28" s="425">
        <f>SUM(C29:C32)</f>
        <v>0</v>
      </c>
      <c r="D28" s="475">
        <f>'Informations générales 1'!$C$14</f>
        <v>0.75</v>
      </c>
      <c r="E28" s="426">
        <f t="shared" ref="E28:F28" si="2">SUM(E29:E32)</f>
        <v>0</v>
      </c>
      <c r="F28" s="426">
        <f t="shared" si="2"/>
        <v>0</v>
      </c>
    </row>
    <row r="29" spans="2:6" x14ac:dyDescent="0.25">
      <c r="B29" s="284" t="s">
        <v>100</v>
      </c>
      <c r="C29" s="427">
        <f>REVEX!D189</f>
        <v>0</v>
      </c>
      <c r="D29" s="476">
        <f>'Informations générales 1'!$C$14</f>
        <v>0.75</v>
      </c>
      <c r="E29" s="429">
        <f t="shared" si="0"/>
        <v>0</v>
      </c>
      <c r="F29" s="429">
        <f t="shared" si="1"/>
        <v>0</v>
      </c>
    </row>
    <row r="30" spans="2:6" x14ac:dyDescent="0.25">
      <c r="B30" s="285" t="s">
        <v>101</v>
      </c>
      <c r="C30" s="430">
        <f>REVEX!D190</f>
        <v>0</v>
      </c>
      <c r="D30" s="477">
        <f>'Informations générales 1'!$C$14</f>
        <v>0.75</v>
      </c>
      <c r="E30" s="432">
        <f t="shared" si="0"/>
        <v>0</v>
      </c>
      <c r="F30" s="432">
        <f t="shared" si="1"/>
        <v>0</v>
      </c>
    </row>
    <row r="31" spans="2:6" x14ac:dyDescent="0.25">
      <c r="B31" s="285" t="s">
        <v>102</v>
      </c>
      <c r="C31" s="430">
        <f>REVEX!D191</f>
        <v>0</v>
      </c>
      <c r="D31" s="477">
        <f>'Informations générales 1'!$C$14</f>
        <v>0.75</v>
      </c>
      <c r="E31" s="432">
        <f t="shared" si="0"/>
        <v>0</v>
      </c>
      <c r="F31" s="432">
        <f t="shared" si="1"/>
        <v>0</v>
      </c>
    </row>
    <row r="32" spans="2:6" ht="15.75" thickBot="1" x14ac:dyDescent="0.3">
      <c r="B32" s="286" t="s">
        <v>103</v>
      </c>
      <c r="C32" s="433">
        <f>REVEX!D192</f>
        <v>0</v>
      </c>
      <c r="D32" s="478">
        <f>'Informations générales 1'!$C$14</f>
        <v>0.75</v>
      </c>
      <c r="E32" s="435">
        <f t="shared" si="0"/>
        <v>0</v>
      </c>
      <c r="F32" s="435">
        <f t="shared" si="1"/>
        <v>0</v>
      </c>
    </row>
    <row r="33" spans="2:6" s="11" customFormat="1" ht="24.75" customHeight="1" thickBot="1" x14ac:dyDescent="0.3">
      <c r="B33" s="283" t="s">
        <v>512</v>
      </c>
      <c r="C33" s="425">
        <f>SUM(C34:C41)</f>
        <v>0</v>
      </c>
      <c r="D33" s="475">
        <f>'Informations générales 1'!$C$14</f>
        <v>0.75</v>
      </c>
      <c r="E33" s="426">
        <f t="shared" ref="E33:F33" si="3">SUM(E34:E41)</f>
        <v>0</v>
      </c>
      <c r="F33" s="426">
        <f t="shared" si="3"/>
        <v>0</v>
      </c>
    </row>
    <row r="34" spans="2:6" x14ac:dyDescent="0.25">
      <c r="B34" s="284" t="s">
        <v>117</v>
      </c>
      <c r="C34" s="427">
        <f>REVEX!D193</f>
        <v>0</v>
      </c>
      <c r="D34" s="476">
        <f>'Informations générales 1'!$C$14</f>
        <v>0.75</v>
      </c>
      <c r="E34" s="429">
        <f t="shared" si="0"/>
        <v>0</v>
      </c>
      <c r="F34" s="429">
        <f t="shared" si="1"/>
        <v>0</v>
      </c>
    </row>
    <row r="35" spans="2:6" x14ac:dyDescent="0.25">
      <c r="B35" s="285" t="s">
        <v>104</v>
      </c>
      <c r="C35" s="430">
        <f>REVEX!D194</f>
        <v>0</v>
      </c>
      <c r="D35" s="477">
        <f>'Informations générales 1'!$C$14</f>
        <v>0.75</v>
      </c>
      <c r="E35" s="432">
        <f t="shared" si="0"/>
        <v>0</v>
      </c>
      <c r="F35" s="432">
        <f t="shared" si="1"/>
        <v>0</v>
      </c>
    </row>
    <row r="36" spans="2:6" x14ac:dyDescent="0.25">
      <c r="B36" s="285" t="s">
        <v>105</v>
      </c>
      <c r="C36" s="430">
        <f>REVEX!D195</f>
        <v>0</v>
      </c>
      <c r="D36" s="477">
        <f>'Informations générales 1'!$C$14</f>
        <v>0.75</v>
      </c>
      <c r="E36" s="432">
        <f t="shared" si="0"/>
        <v>0</v>
      </c>
      <c r="F36" s="432">
        <f t="shared" si="1"/>
        <v>0</v>
      </c>
    </row>
    <row r="37" spans="2:6" x14ac:dyDescent="0.25">
      <c r="B37" s="285" t="s">
        <v>106</v>
      </c>
      <c r="C37" s="430">
        <f>REVEX!D196</f>
        <v>0</v>
      </c>
      <c r="D37" s="477">
        <f>'Informations générales 1'!$C$14</f>
        <v>0.75</v>
      </c>
      <c r="E37" s="432">
        <f t="shared" si="0"/>
        <v>0</v>
      </c>
      <c r="F37" s="432">
        <f t="shared" si="1"/>
        <v>0</v>
      </c>
    </row>
    <row r="38" spans="2:6" x14ac:dyDescent="0.25">
      <c r="B38" s="285" t="s">
        <v>107</v>
      </c>
      <c r="C38" s="430">
        <f>REVEX!D197</f>
        <v>0</v>
      </c>
      <c r="D38" s="477">
        <f>'Informations générales 1'!$C$14</f>
        <v>0.75</v>
      </c>
      <c r="E38" s="432">
        <f t="shared" si="0"/>
        <v>0</v>
      </c>
      <c r="F38" s="432">
        <f t="shared" si="1"/>
        <v>0</v>
      </c>
    </row>
    <row r="39" spans="2:6" x14ac:dyDescent="0.25">
      <c r="B39" s="285" t="s">
        <v>108</v>
      </c>
      <c r="C39" s="430">
        <f>REVEX!D198</f>
        <v>0</v>
      </c>
      <c r="D39" s="477">
        <f>'Informations générales 1'!$C$14</f>
        <v>0.75</v>
      </c>
      <c r="E39" s="432">
        <f t="shared" si="0"/>
        <v>0</v>
      </c>
      <c r="F39" s="432">
        <f t="shared" si="1"/>
        <v>0</v>
      </c>
    </row>
    <row r="40" spans="2:6" x14ac:dyDescent="0.25">
      <c r="B40" s="285" t="s">
        <v>109</v>
      </c>
      <c r="C40" s="430">
        <f>REVEX!D199</f>
        <v>0</v>
      </c>
      <c r="D40" s="477">
        <f>'Informations générales 1'!$C$14</f>
        <v>0.75</v>
      </c>
      <c r="E40" s="432">
        <f t="shared" si="0"/>
        <v>0</v>
      </c>
      <c r="F40" s="432">
        <f t="shared" si="1"/>
        <v>0</v>
      </c>
    </row>
    <row r="41" spans="2:6" ht="15.75" thickBot="1" x14ac:dyDescent="0.3">
      <c r="B41" s="286" t="s">
        <v>110</v>
      </c>
      <c r="C41" s="433">
        <f>REVEX!D200</f>
        <v>0</v>
      </c>
      <c r="D41" s="478">
        <f>'Informations générales 1'!$C$14</f>
        <v>0.75</v>
      </c>
      <c r="E41" s="435">
        <f t="shared" si="0"/>
        <v>0</v>
      </c>
      <c r="F41" s="435">
        <f t="shared" si="1"/>
        <v>0</v>
      </c>
    </row>
    <row r="42" spans="2:6" s="11" customFormat="1" ht="24.75" customHeight="1" thickBot="1" x14ac:dyDescent="0.3">
      <c r="B42" s="283" t="s">
        <v>428</v>
      </c>
      <c r="C42" s="425">
        <f>SUM(C43:C45)</f>
        <v>0</v>
      </c>
      <c r="D42" s="475">
        <f>'Informations générales 1'!$C$14</f>
        <v>0.75</v>
      </c>
      <c r="E42" s="426">
        <f t="shared" ref="E42:F42" si="4">SUM(E43:E45)</f>
        <v>0</v>
      </c>
      <c r="F42" s="426">
        <f t="shared" si="4"/>
        <v>0</v>
      </c>
    </row>
    <row r="43" spans="2:6" x14ac:dyDescent="0.25">
      <c r="B43" s="284" t="s">
        <v>111</v>
      </c>
      <c r="C43" s="427">
        <f>REVEX!D201</f>
        <v>0</v>
      </c>
      <c r="D43" s="476">
        <f>'Informations générales 1'!$C$14</f>
        <v>0.75</v>
      </c>
      <c r="E43" s="429">
        <f t="shared" si="0"/>
        <v>0</v>
      </c>
      <c r="F43" s="429">
        <f t="shared" si="1"/>
        <v>0</v>
      </c>
    </row>
    <row r="44" spans="2:6" ht="15.75" thickBot="1" x14ac:dyDescent="0.3">
      <c r="B44" s="285" t="s">
        <v>112</v>
      </c>
      <c r="C44" s="430">
        <f>REVEX!D202</f>
        <v>0</v>
      </c>
      <c r="D44" s="477">
        <f>'Informations générales 1'!$C$14</f>
        <v>0.75</v>
      </c>
      <c r="E44" s="432">
        <f t="shared" si="0"/>
        <v>0</v>
      </c>
      <c r="F44" s="432">
        <f t="shared" si="1"/>
        <v>0</v>
      </c>
    </row>
    <row r="45" spans="2:6" ht="15.75" hidden="1" thickBot="1" x14ac:dyDescent="0.3">
      <c r="B45" s="287" t="s">
        <v>423</v>
      </c>
      <c r="C45" s="430">
        <f>-REVEX!C75</f>
        <v>0</v>
      </c>
      <c r="D45" s="477">
        <f>'Informations générales 1'!$C$14</f>
        <v>0.75</v>
      </c>
      <c r="E45" s="432">
        <f t="shared" si="0"/>
        <v>0</v>
      </c>
      <c r="F45" s="432">
        <f t="shared" si="1"/>
        <v>0</v>
      </c>
    </row>
    <row r="46" spans="2:6" s="11" customFormat="1" ht="24.75" customHeight="1" thickBot="1" x14ac:dyDescent="0.3">
      <c r="B46" s="283" t="s">
        <v>429</v>
      </c>
      <c r="C46" s="425">
        <f>SUM(C47:C49)</f>
        <v>0</v>
      </c>
      <c r="D46" s="475">
        <f>'Informations générales 1'!$C$14</f>
        <v>0.75</v>
      </c>
      <c r="E46" s="426">
        <f t="shared" ref="E46:F46" si="5">SUM(E47:E49)</f>
        <v>0</v>
      </c>
      <c r="F46" s="426">
        <f t="shared" si="5"/>
        <v>0</v>
      </c>
    </row>
    <row r="47" spans="2:6" x14ac:dyDescent="0.25">
      <c r="B47" s="284" t="s">
        <v>113</v>
      </c>
      <c r="C47" s="427">
        <f>REVEX!D203</f>
        <v>0</v>
      </c>
      <c r="D47" s="476">
        <f>'Informations générales 1'!$C$14</f>
        <v>0.75</v>
      </c>
      <c r="E47" s="429">
        <f t="shared" si="0"/>
        <v>0</v>
      </c>
      <c r="F47" s="429">
        <f t="shared" si="1"/>
        <v>0</v>
      </c>
    </row>
    <row r="48" spans="2:6" ht="15.75" thickBot="1" x14ac:dyDescent="0.3">
      <c r="B48" s="285" t="s">
        <v>114</v>
      </c>
      <c r="C48" s="430">
        <f>REVEX!D204</f>
        <v>0</v>
      </c>
      <c r="D48" s="477">
        <f>'Informations générales 1'!$C$14</f>
        <v>0.75</v>
      </c>
      <c r="E48" s="432">
        <f t="shared" si="0"/>
        <v>0</v>
      </c>
      <c r="F48" s="432">
        <f t="shared" si="1"/>
        <v>0</v>
      </c>
    </row>
    <row r="49" spans="2:6" ht="15.75" hidden="1" thickBot="1" x14ac:dyDescent="0.3">
      <c r="B49" s="287" t="s">
        <v>423</v>
      </c>
      <c r="C49" s="430">
        <f>-REVEX!C76</f>
        <v>0</v>
      </c>
      <c r="D49" s="477">
        <f>'Informations générales 1'!$C$14</f>
        <v>0.75</v>
      </c>
      <c r="E49" s="432">
        <f t="shared" si="0"/>
        <v>0</v>
      </c>
      <c r="F49" s="432">
        <f t="shared" si="1"/>
        <v>0</v>
      </c>
    </row>
    <row r="50" spans="2:6" s="11" customFormat="1" ht="24.75" customHeight="1" thickBot="1" x14ac:dyDescent="0.3">
      <c r="B50" s="283" t="s">
        <v>115</v>
      </c>
      <c r="C50" s="425">
        <f>SUM(C51:C52)</f>
        <v>0</v>
      </c>
      <c r="D50" s="475">
        <f>'Informations générales 1'!$C$14</f>
        <v>0.75</v>
      </c>
      <c r="E50" s="426">
        <f t="shared" ref="E50:F50" si="6">SUM(E51:E52)</f>
        <v>0</v>
      </c>
      <c r="F50" s="426">
        <f t="shared" si="6"/>
        <v>0</v>
      </c>
    </row>
    <row r="51" spans="2:6" s="11" customFormat="1" x14ac:dyDescent="0.25">
      <c r="B51" s="284" t="s">
        <v>115</v>
      </c>
      <c r="C51" s="427">
        <f>REVEX!D205</f>
        <v>0</v>
      </c>
      <c r="D51" s="476">
        <f>'Informations générales 1'!$C$14</f>
        <v>0.75</v>
      </c>
      <c r="E51" s="429">
        <f t="shared" si="0"/>
        <v>0</v>
      </c>
      <c r="F51" s="429">
        <f t="shared" si="1"/>
        <v>0</v>
      </c>
    </row>
    <row r="52" spans="2:6" s="11" customFormat="1" hidden="1" x14ac:dyDescent="0.25">
      <c r="B52" s="287" t="s">
        <v>423</v>
      </c>
      <c r="C52" s="430">
        <f>-REVEX!C77</f>
        <v>0</v>
      </c>
      <c r="D52" s="477"/>
      <c r="E52" s="432">
        <f t="shared" ref="E52:E55" si="7">C52-D52</f>
        <v>0</v>
      </c>
      <c r="F52" s="432">
        <f t="shared" ref="F52:F58" si="8">(1-D52)*E52</f>
        <v>0</v>
      </c>
    </row>
    <row r="53" spans="2:6" s="11" customFormat="1" ht="24.75" hidden="1" customHeight="1" thickBot="1" x14ac:dyDescent="0.3">
      <c r="B53" s="289" t="s">
        <v>423</v>
      </c>
      <c r="C53" s="436">
        <f>SUM(C54:C55)</f>
        <v>0</v>
      </c>
      <c r="D53" s="479"/>
      <c r="E53" s="437">
        <f t="shared" si="7"/>
        <v>0</v>
      </c>
      <c r="F53" s="437">
        <f t="shared" si="8"/>
        <v>0</v>
      </c>
    </row>
    <row r="54" spans="2:6" s="11" customFormat="1" hidden="1" x14ac:dyDescent="0.25">
      <c r="B54" s="284" t="s">
        <v>426</v>
      </c>
      <c r="C54" s="427">
        <f>-REVEX!C73</f>
        <v>0</v>
      </c>
      <c r="D54" s="476"/>
      <c r="E54" s="429">
        <f t="shared" si="7"/>
        <v>0</v>
      </c>
      <c r="F54" s="429">
        <f t="shared" si="8"/>
        <v>0</v>
      </c>
    </row>
    <row r="55" spans="2:6" s="11" customFormat="1" ht="15.75" hidden="1" thickBot="1" x14ac:dyDescent="0.3">
      <c r="B55" s="286" t="s">
        <v>207</v>
      </c>
      <c r="C55" s="433">
        <f>-REVEX!C79</f>
        <v>0</v>
      </c>
      <c r="D55" s="478"/>
      <c r="E55" s="435">
        <f t="shared" si="7"/>
        <v>0</v>
      </c>
      <c r="F55" s="435">
        <f t="shared" si="8"/>
        <v>0</v>
      </c>
    </row>
    <row r="56" spans="2:6" s="11" customFormat="1" ht="15" hidden="1" customHeight="1" thickBot="1" x14ac:dyDescent="0.3">
      <c r="B56" s="288"/>
      <c r="C56" s="438" t="s">
        <v>505</v>
      </c>
      <c r="D56" s="466" t="s">
        <v>506</v>
      </c>
      <c r="E56" s="438" t="s">
        <v>507</v>
      </c>
      <c r="F56" s="438" t="e">
        <f t="shared" si="8"/>
        <v>#VALUE!</v>
      </c>
    </row>
    <row r="57" spans="2:6" ht="25.5" hidden="1" customHeight="1" thickBot="1" x14ac:dyDescent="0.3">
      <c r="B57" s="289" t="s">
        <v>116</v>
      </c>
      <c r="C57" s="436">
        <f>SUM(C58,C61,C62)</f>
        <v>0</v>
      </c>
      <c r="D57" s="479">
        <f>SUM(D58,D61)</f>
        <v>0</v>
      </c>
      <c r="E57" s="437">
        <f>SUM(E58,E61,E62)</f>
        <v>0</v>
      </c>
      <c r="F57" s="437">
        <f t="shared" si="8"/>
        <v>0</v>
      </c>
    </row>
    <row r="58" spans="2:6" ht="25.5" hidden="1" customHeight="1" x14ac:dyDescent="0.25">
      <c r="B58" s="290" t="s">
        <v>545</v>
      </c>
      <c r="C58" s="439">
        <f>REVEX!C60</f>
        <v>0</v>
      </c>
      <c r="D58" s="480">
        <f>REVEX!C101</f>
        <v>0</v>
      </c>
      <c r="E58" s="440">
        <f t="shared" ref="E58:F62" si="9">C58-D58</f>
        <v>0</v>
      </c>
      <c r="F58" s="440">
        <f t="shared" si="8"/>
        <v>0</v>
      </c>
    </row>
    <row r="59" spans="2:6" ht="25.5" hidden="1" customHeight="1" x14ac:dyDescent="0.25">
      <c r="B59" s="413" t="s">
        <v>526</v>
      </c>
      <c r="C59" s="414" t="s">
        <v>489</v>
      </c>
      <c r="D59" s="481" t="s">
        <v>490</v>
      </c>
      <c r="E59" s="415"/>
      <c r="F59" s="415"/>
    </row>
    <row r="60" spans="2:6" ht="25.5" hidden="1" customHeight="1" x14ac:dyDescent="0.25">
      <c r="B60" s="461">
        <f>REVEX!H66</f>
        <v>0</v>
      </c>
      <c r="C60" s="462">
        <f>REVEX!H67</f>
        <v>0</v>
      </c>
      <c r="D60" s="482">
        <f>REVEX!H68</f>
        <v>0</v>
      </c>
      <c r="E60" s="415"/>
      <c r="F60" s="415"/>
    </row>
    <row r="61" spans="2:6" ht="25.5" hidden="1" customHeight="1" x14ac:dyDescent="0.25">
      <c r="B61" s="291" t="s">
        <v>546</v>
      </c>
      <c r="C61" s="441">
        <f>REVEX!E60+REVEX!F60</f>
        <v>0</v>
      </c>
      <c r="D61" s="483">
        <f>REVEX!E101+REVEX!F101</f>
        <v>0</v>
      </c>
      <c r="E61" s="442">
        <f t="shared" si="9"/>
        <v>0</v>
      </c>
      <c r="F61" s="442">
        <f t="shared" si="9"/>
        <v>0</v>
      </c>
    </row>
    <row r="62" spans="2:6" ht="25.5" hidden="1" customHeight="1" thickBot="1" x14ac:dyDescent="0.3">
      <c r="B62" s="292" t="s">
        <v>423</v>
      </c>
      <c r="C62" s="443">
        <f>-REVEX!C78</f>
        <v>0</v>
      </c>
      <c r="D62" s="484"/>
      <c r="E62" s="444">
        <f t="shared" si="9"/>
        <v>0</v>
      </c>
      <c r="F62" s="444">
        <f t="shared" si="9"/>
        <v>0</v>
      </c>
    </row>
    <row r="63" spans="2:6" ht="15.75" thickBot="1" x14ac:dyDescent="0.3"/>
    <row r="64" spans="2:6" ht="39" customHeight="1" thickBot="1" x14ac:dyDescent="0.3">
      <c r="B64" s="293" t="s">
        <v>514</v>
      </c>
      <c r="C64" s="295"/>
      <c r="D64" s="295"/>
      <c r="E64" s="494">
        <f>E24+E25+E26</f>
        <v>0</v>
      </c>
      <c r="F64" s="494">
        <f>F24+F25+F26</f>
        <v>0</v>
      </c>
    </row>
    <row r="66" spans="2:6" ht="15.75" hidden="1" thickBot="1" x14ac:dyDescent="0.3">
      <c r="B66" s="297"/>
      <c r="C66" s="298" t="s">
        <v>499</v>
      </c>
      <c r="D66" s="485"/>
      <c r="E66" s="299" t="s">
        <v>515</v>
      </c>
      <c r="F66" s="299" t="s">
        <v>515</v>
      </c>
    </row>
    <row r="67" spans="2:6" hidden="1" x14ac:dyDescent="0.25">
      <c r="B67" s="85" t="s">
        <v>516</v>
      </c>
      <c r="C67" s="300">
        <f>REVEX!K27</f>
        <v>0</v>
      </c>
      <c r="D67" s="486"/>
      <c r="E67" s="301">
        <f>C67*0.71</f>
        <v>0</v>
      </c>
      <c r="F67" s="301">
        <f>D67*0.71</f>
        <v>0</v>
      </c>
    </row>
    <row r="68" spans="2:6" hidden="1" x14ac:dyDescent="0.25">
      <c r="B68" s="85" t="s">
        <v>517</v>
      </c>
      <c r="C68" s="300">
        <f>REVEX!K28</f>
        <v>0</v>
      </c>
      <c r="D68" s="486"/>
      <c r="E68" s="301">
        <f>C68*6</f>
        <v>0</v>
      </c>
      <c r="F68" s="301">
        <f>D68*6</f>
        <v>0</v>
      </c>
    </row>
    <row r="69" spans="2:6" ht="15.75" hidden="1" thickBot="1" x14ac:dyDescent="0.3">
      <c r="B69" s="302" t="s">
        <v>518</v>
      </c>
      <c r="C69" s="303"/>
      <c r="D69" s="487"/>
      <c r="E69" s="304">
        <f>SUM(E67:E68)</f>
        <v>0</v>
      </c>
      <c r="F69" s="304">
        <f>SUM(F67:F68)</f>
        <v>0</v>
      </c>
    </row>
    <row r="71" spans="2:6" ht="16.5" hidden="1" thickBot="1" x14ac:dyDescent="0.3">
      <c r="B71" s="305" t="s">
        <v>523</v>
      </c>
      <c r="C71" s="306" t="s">
        <v>524</v>
      </c>
      <c r="D71" s="488" t="s">
        <v>525</v>
      </c>
      <c r="E71" s="307" t="s">
        <v>311</v>
      </c>
      <c r="F71" s="307" t="s">
        <v>311</v>
      </c>
    </row>
    <row r="72" spans="2:6" ht="15.75" hidden="1" x14ac:dyDescent="0.25">
      <c r="B72" s="308" t="str">
        <f>"MENJE "&amp;'Informations générales 1'!C14*100 &amp;"%"</f>
        <v>MENJE 75%</v>
      </c>
      <c r="C72" s="445">
        <f>C64-C73</f>
        <v>0</v>
      </c>
      <c r="D72" s="489">
        <f>REVEX!C72</f>
        <v>0</v>
      </c>
      <c r="E72" s="446">
        <f>C72-D72</f>
        <v>0</v>
      </c>
      <c r="F72" s="446">
        <f>D72-E72</f>
        <v>0</v>
      </c>
    </row>
    <row r="73" spans="2:6" ht="16.5" hidden="1" thickBot="1" x14ac:dyDescent="0.3">
      <c r="B73" s="309" t="str">
        <f>"Commune "&amp;(1-'Informations générales 1'!C14)*100&amp;"%"</f>
        <v>Commune 25%</v>
      </c>
      <c r="C73" s="447">
        <f>(C64-E69)*(1-REVEX!E13)</f>
        <v>0</v>
      </c>
      <c r="D73" s="490">
        <f>REVEX!C74</f>
        <v>0</v>
      </c>
      <c r="E73" s="448">
        <f>C73-D73</f>
        <v>0</v>
      </c>
      <c r="F73" s="448">
        <f>D73-E73</f>
        <v>0</v>
      </c>
    </row>
    <row r="75" spans="2:6" hidden="1" x14ac:dyDescent="0.25">
      <c r="B75" s="310" t="s">
        <v>527</v>
      </c>
      <c r="C75" s="311"/>
    </row>
    <row r="76" spans="2:6" ht="15.75" hidden="1" thickBot="1" x14ac:dyDescent="0.3">
      <c r="B76" s="312" t="s">
        <v>528</v>
      </c>
      <c r="C76" s="449">
        <f>BPI!F13</f>
        <v>0</v>
      </c>
    </row>
    <row r="77" spans="2:6" x14ac:dyDescent="0.25">
      <c r="B77" s="313"/>
      <c r="C77" s="314"/>
    </row>
    <row r="78" spans="2:6" x14ac:dyDescent="0.25">
      <c r="B78" s="315"/>
      <c r="C78" s="316"/>
      <c r="D78" s="491"/>
      <c r="E78" s="317"/>
      <c r="F78" s="317"/>
    </row>
    <row r="79" spans="2:6" ht="15.75" x14ac:dyDescent="0.25">
      <c r="B79" s="318" t="s">
        <v>519</v>
      </c>
      <c r="C79" s="571">
        <f ca="1">TODAY()</f>
        <v>44307</v>
      </c>
      <c r="D79" s="571"/>
      <c r="E79" s="319"/>
      <c r="F79" s="319"/>
    </row>
    <row r="80" spans="2:6" ht="15.75" x14ac:dyDescent="0.25">
      <c r="B80" s="318"/>
      <c r="C80" s="320"/>
      <c r="D80" s="492"/>
      <c r="E80" s="319"/>
      <c r="F80" s="319"/>
    </row>
    <row r="81" spans="2:6" ht="15.75" x14ac:dyDescent="0.25">
      <c r="B81" s="318"/>
      <c r="C81" s="320"/>
      <c r="D81" s="492"/>
      <c r="E81" s="319"/>
      <c r="F81" s="319"/>
    </row>
    <row r="82" spans="2:6" ht="15.75" x14ac:dyDescent="0.25">
      <c r="B82" s="318" t="s">
        <v>520</v>
      </c>
      <c r="C82" s="321"/>
      <c r="D82" s="493"/>
      <c r="E82" s="319"/>
      <c r="F82" s="319"/>
    </row>
    <row r="83" spans="2:6" ht="15.75" x14ac:dyDescent="0.25">
      <c r="B83" s="318"/>
      <c r="C83" s="572" t="s">
        <v>521</v>
      </c>
      <c r="D83" s="572"/>
      <c r="E83" s="319"/>
      <c r="F83" s="319"/>
    </row>
    <row r="84" spans="2:6" ht="15.75" x14ac:dyDescent="0.25">
      <c r="B84" s="318"/>
      <c r="C84" s="320"/>
      <c r="D84" s="492"/>
      <c r="E84" s="319"/>
      <c r="F84" s="319"/>
    </row>
    <row r="85" spans="2:6" ht="15.75" x14ac:dyDescent="0.25">
      <c r="B85" s="318"/>
      <c r="C85" s="320"/>
      <c r="D85" s="492"/>
      <c r="E85" s="319"/>
      <c r="F85" s="319"/>
    </row>
    <row r="86" spans="2:6" ht="15.75" x14ac:dyDescent="0.25">
      <c r="B86" s="318" t="s">
        <v>522</v>
      </c>
      <c r="C86" s="321"/>
      <c r="D86" s="493"/>
      <c r="E86" s="319"/>
      <c r="F86" s="319"/>
    </row>
    <row r="87" spans="2:6" ht="15.75" x14ac:dyDescent="0.25">
      <c r="B87" s="322"/>
      <c r="C87" s="321"/>
      <c r="D87" s="493"/>
      <c r="E87" s="323"/>
      <c r="F87" s="323"/>
    </row>
  </sheetData>
  <sheetProtection selectLockedCells="1"/>
  <mergeCells count="2">
    <mergeCell ref="C79:D79"/>
    <mergeCell ref="C83:D83"/>
  </mergeCells>
  <conditionalFormatting sqref="D12">
    <cfRule type="cellIs" dxfId="62" priority="1" operator="lessThan">
      <formula>0.75</formula>
    </cfRule>
  </conditionalFormatting>
  <pageMargins left="0.7" right="0.7" top="0.75" bottom="0.75" header="0.3" footer="0.3"/>
  <pageSetup paperSize="9" scale="51"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
  <dimension ref="A1:AK115"/>
  <sheetViews>
    <sheetView topLeftCell="E6" workbookViewId="0">
      <selection activeCell="H19" sqref="H19"/>
    </sheetView>
  </sheetViews>
  <sheetFormatPr defaultRowHeight="15" x14ac:dyDescent="0.25"/>
  <cols>
    <col min="1" max="1" width="37.42578125" bestFit="1" customWidth="1"/>
    <col min="2" max="2" width="11" customWidth="1"/>
    <col min="3" max="3" width="17.5703125" bestFit="1" customWidth="1"/>
    <col min="4" max="4" width="14.85546875" bestFit="1" customWidth="1"/>
    <col min="5" max="5" width="34.85546875" bestFit="1" customWidth="1"/>
    <col min="6" max="6" width="20.42578125" bestFit="1" customWidth="1"/>
    <col min="7" max="7" width="37.42578125" bestFit="1" customWidth="1"/>
    <col min="8" max="8" width="37.42578125" customWidth="1"/>
    <col min="9" max="9" width="130.85546875" bestFit="1" customWidth="1"/>
    <col min="10" max="10" width="39.7109375" bestFit="1" customWidth="1"/>
    <col min="11" max="11" width="75.42578125" bestFit="1" customWidth="1"/>
    <col min="12" max="12" width="18.42578125" bestFit="1" customWidth="1"/>
    <col min="13" max="13" width="23.7109375" bestFit="1" customWidth="1"/>
    <col min="28" max="28" width="37.42578125" bestFit="1" customWidth="1"/>
    <col min="29" max="29" width="45.140625" customWidth="1"/>
    <col min="30" max="30" width="42.5703125" customWidth="1"/>
    <col min="31" max="31" width="50.7109375" customWidth="1"/>
    <col min="32" max="32" width="75.42578125" bestFit="1" customWidth="1"/>
    <col min="33" max="33" width="71.140625" customWidth="1"/>
    <col min="34" max="34" width="67.7109375" customWidth="1"/>
  </cols>
  <sheetData>
    <row r="1" spans="1:34" x14ac:dyDescent="0.25">
      <c r="A1" t="s">
        <v>118</v>
      </c>
      <c r="B1" s="1" t="s">
        <v>119</v>
      </c>
      <c r="C1" t="s">
        <v>120</v>
      </c>
      <c r="D1" t="s">
        <v>121</v>
      </c>
      <c r="E1" t="s">
        <v>122</v>
      </c>
      <c r="F1" t="s">
        <v>123</v>
      </c>
      <c r="G1" t="s">
        <v>124</v>
      </c>
      <c r="H1" t="s">
        <v>593</v>
      </c>
      <c r="I1" t="s">
        <v>261</v>
      </c>
      <c r="J1" t="s">
        <v>372</v>
      </c>
      <c r="K1" t="s">
        <v>374</v>
      </c>
      <c r="L1" t="s">
        <v>419</v>
      </c>
      <c r="M1" t="s">
        <v>424</v>
      </c>
      <c r="AB1" t="s">
        <v>262</v>
      </c>
      <c r="AC1" t="s">
        <v>125</v>
      </c>
      <c r="AD1" t="s">
        <v>126</v>
      </c>
      <c r="AE1" t="s">
        <v>127</v>
      </c>
      <c r="AG1" t="s">
        <v>262</v>
      </c>
      <c r="AH1" t="s">
        <v>423</v>
      </c>
    </row>
    <row r="2" spans="1:34" x14ac:dyDescent="0.25">
      <c r="A2" t="s">
        <v>1</v>
      </c>
      <c r="B2" s="1">
        <v>0.75</v>
      </c>
      <c r="C2" t="s">
        <v>31</v>
      </c>
      <c r="D2" t="s">
        <v>37</v>
      </c>
      <c r="E2" t="s">
        <v>595</v>
      </c>
      <c r="F2" t="s">
        <v>35</v>
      </c>
      <c r="G2" t="s">
        <v>99</v>
      </c>
      <c r="H2" t="s">
        <v>99</v>
      </c>
      <c r="I2" t="s">
        <v>149</v>
      </c>
      <c r="J2" t="s">
        <v>340</v>
      </c>
      <c r="K2" t="s">
        <v>375</v>
      </c>
      <c r="L2" t="s">
        <v>420</v>
      </c>
      <c r="M2" t="s">
        <v>425</v>
      </c>
      <c r="AB2" t="s">
        <v>99</v>
      </c>
      <c r="AC2" s="51">
        <f>SUMIF(Fonctionnement[Allocation],AB2,Fonctionnement[Montant])</f>
        <v>0</v>
      </c>
      <c r="AD2" s="51">
        <f>SUMIF(CCTSAS[Allocation fonctions],VariablesInternes[[#This Row],[Fonction]],CCTSAS[Total éligible])</f>
        <v>0</v>
      </c>
      <c r="AE2" s="51">
        <f>SUMIF(SalCommune[Allocations fonctions],VariablesInternes[[#This Row],[Fonction]],SalCommune[Total éligible])</f>
        <v>0</v>
      </c>
      <c r="AG2" t="s">
        <v>425</v>
      </c>
      <c r="AH2" s="51">
        <f>SUMIF(Recettes[Fonctions],RecettesInterne[[#This Row],[Fonction]],Recettes[Montant])</f>
        <v>0</v>
      </c>
    </row>
    <row r="3" spans="1:34" x14ac:dyDescent="0.25">
      <c r="A3" t="s">
        <v>2</v>
      </c>
      <c r="B3" s="1">
        <v>1</v>
      </c>
      <c r="C3" t="s">
        <v>32</v>
      </c>
      <c r="D3" t="s">
        <v>38</v>
      </c>
      <c r="E3" t="s">
        <v>81</v>
      </c>
      <c r="F3" t="s">
        <v>78</v>
      </c>
      <c r="G3" t="s">
        <v>100</v>
      </c>
      <c r="H3" t="s">
        <v>100</v>
      </c>
      <c r="I3" t="s">
        <v>151</v>
      </c>
      <c r="J3" t="s">
        <v>341</v>
      </c>
      <c r="K3" t="s">
        <v>376</v>
      </c>
      <c r="L3" t="s">
        <v>421</v>
      </c>
      <c r="M3" t="s">
        <v>426</v>
      </c>
      <c r="AB3" t="s">
        <v>100</v>
      </c>
      <c r="AC3" s="51">
        <f>SUMIF(Fonctionnement[Allocation],AB3,Fonctionnement[Montant])</f>
        <v>0</v>
      </c>
      <c r="AD3" s="51">
        <f>SUMIF(CCTSAS[Allocation fonctions],VariablesInternes[[#This Row],[Fonction]],CCTSAS[Total éligible])</f>
        <v>0</v>
      </c>
      <c r="AE3" s="51">
        <f>SUMIF(SalCommune[Allocations fonctions],VariablesInternes[[#This Row],[Fonction]],SalCommune[Total éligible])</f>
        <v>0</v>
      </c>
      <c r="AG3" t="s">
        <v>426</v>
      </c>
      <c r="AH3" s="51">
        <f>SUMIF(Recettes[Fonctions],RecettesInterne[[#This Row],[Fonction]],Recettes[Montant])</f>
        <v>0</v>
      </c>
    </row>
    <row r="4" spans="1:34" x14ac:dyDescent="0.25">
      <c r="C4" t="s">
        <v>77</v>
      </c>
      <c r="D4" t="s">
        <v>36</v>
      </c>
      <c r="E4" t="s">
        <v>82</v>
      </c>
      <c r="F4" t="s">
        <v>79</v>
      </c>
      <c r="G4" t="s">
        <v>101</v>
      </c>
      <c r="H4" t="s">
        <v>101</v>
      </c>
      <c r="I4" t="s">
        <v>153</v>
      </c>
      <c r="J4" t="s">
        <v>342</v>
      </c>
      <c r="K4" t="s">
        <v>380</v>
      </c>
      <c r="M4" t="s">
        <v>427</v>
      </c>
      <c r="AB4" t="s">
        <v>101</v>
      </c>
      <c r="AC4" s="51">
        <f>SUMIF(Fonctionnement[Allocation],AB4,Fonctionnement[Montant])</f>
        <v>0</v>
      </c>
      <c r="AD4" s="51">
        <f>SUMIF(CCTSAS[Allocation fonctions],VariablesInternes[[#This Row],[Fonction]],CCTSAS[Total éligible])</f>
        <v>0</v>
      </c>
      <c r="AE4" s="51">
        <f>SUMIF(SalCommune[Allocations fonctions],VariablesInternes[[#This Row],[Fonction]],SalCommune[Total éligible])</f>
        <v>0</v>
      </c>
      <c r="AG4" t="s">
        <v>427</v>
      </c>
      <c r="AH4" s="51">
        <f>SUMIF(Recettes[Fonctions],RecettesInterne[[#This Row],[Fonction]],Recettes[Montant])</f>
        <v>0</v>
      </c>
    </row>
    <row r="5" spans="1:34" x14ac:dyDescent="0.25">
      <c r="D5" t="s">
        <v>42</v>
      </c>
      <c r="F5" t="s">
        <v>80</v>
      </c>
      <c r="G5" t="s">
        <v>102</v>
      </c>
      <c r="H5" t="s">
        <v>102</v>
      </c>
      <c r="I5" t="s">
        <v>155</v>
      </c>
      <c r="J5" t="s">
        <v>343</v>
      </c>
      <c r="K5" t="s">
        <v>377</v>
      </c>
      <c r="M5" t="s">
        <v>428</v>
      </c>
      <c r="AB5" t="s">
        <v>102</v>
      </c>
      <c r="AC5" s="51">
        <f>SUMIF(Fonctionnement[Allocation],AB5,Fonctionnement[Montant])</f>
        <v>0</v>
      </c>
      <c r="AD5" s="51">
        <f>SUMIF(CCTSAS[Allocation fonctions],VariablesInternes[[#This Row],[Fonction]],CCTSAS[Total éligible])</f>
        <v>0</v>
      </c>
      <c r="AE5" s="51">
        <f>SUMIF(SalCommune[Allocations fonctions],VariablesInternes[[#This Row],[Fonction]],SalCommune[Total éligible])</f>
        <v>0</v>
      </c>
      <c r="AG5" t="s">
        <v>428</v>
      </c>
      <c r="AH5" s="51">
        <f>SUMIF(Recettes[Fonctions],RecettesInterne[[#This Row],[Fonction]],Recettes[Montant])</f>
        <v>0</v>
      </c>
    </row>
    <row r="6" spans="1:34" x14ac:dyDescent="0.25">
      <c r="A6" t="s">
        <v>649</v>
      </c>
      <c r="D6" t="s">
        <v>41</v>
      </c>
      <c r="G6" t="s">
        <v>103</v>
      </c>
      <c r="H6" t="s">
        <v>103</v>
      </c>
      <c r="I6" t="s">
        <v>157</v>
      </c>
      <c r="J6" t="s">
        <v>344</v>
      </c>
      <c r="K6" t="s">
        <v>378</v>
      </c>
      <c r="M6" t="s">
        <v>429</v>
      </c>
      <c r="AB6" t="s">
        <v>103</v>
      </c>
      <c r="AC6" s="51">
        <f>SUMIF(Fonctionnement[Allocation],AB6,Fonctionnement[Montant])</f>
        <v>0</v>
      </c>
      <c r="AD6" s="51">
        <f>SUMIF(CCTSAS[Allocation fonctions],VariablesInternes[[#This Row],[Fonction]],CCTSAS[Total éligible])</f>
        <v>0</v>
      </c>
      <c r="AE6" s="51">
        <f>SUMIF(SalCommune[Allocations fonctions],VariablesInternes[[#This Row],[Fonction]],SalCommune[Total éligible])</f>
        <v>0</v>
      </c>
      <c r="AG6" t="s">
        <v>429</v>
      </c>
      <c r="AH6" s="51">
        <f>SUMIF(Recettes[Fonctions],RecettesInterne[[#This Row],[Fonction]],Recettes[Montant])</f>
        <v>0</v>
      </c>
    </row>
    <row r="7" spans="1:34" x14ac:dyDescent="0.25">
      <c r="A7" t="s">
        <v>650</v>
      </c>
      <c r="D7" t="s">
        <v>3</v>
      </c>
      <c r="G7" t="s">
        <v>117</v>
      </c>
      <c r="H7" t="s">
        <v>117</v>
      </c>
      <c r="I7" t="s">
        <v>160</v>
      </c>
      <c r="J7" t="s">
        <v>345</v>
      </c>
      <c r="K7" t="s">
        <v>379</v>
      </c>
      <c r="M7" t="s">
        <v>115</v>
      </c>
      <c r="AB7" t="s">
        <v>117</v>
      </c>
      <c r="AC7" s="51">
        <f>SUMIF(Fonctionnement[Allocation],AB7,Fonctionnement[Montant])</f>
        <v>0</v>
      </c>
      <c r="AD7" s="51">
        <f>SUMIF(CCTSAS[Allocation fonctions],VariablesInternes[[#This Row],[Fonction]],CCTSAS[Total éligible])</f>
        <v>0</v>
      </c>
      <c r="AE7" s="51">
        <f>SUMIF(SalCommune[Allocations fonctions],VariablesInternes[[#This Row],[Fonction]],SalCommune[Total éligible])</f>
        <v>0</v>
      </c>
      <c r="AG7" t="s">
        <v>115</v>
      </c>
      <c r="AH7" s="51">
        <f>SUMIF(Recettes[Fonctions],RecettesInterne[[#This Row],[Fonction]],Recettes[Montant])</f>
        <v>0</v>
      </c>
    </row>
    <row r="8" spans="1:34" x14ac:dyDescent="0.25">
      <c r="D8" t="s">
        <v>40</v>
      </c>
      <c r="G8" t="s">
        <v>104</v>
      </c>
      <c r="H8" t="s">
        <v>104</v>
      </c>
      <c r="I8" t="s">
        <v>162</v>
      </c>
      <c r="J8" t="s">
        <v>346</v>
      </c>
      <c r="M8" t="s">
        <v>116</v>
      </c>
      <c r="AB8" t="s">
        <v>104</v>
      </c>
      <c r="AC8" s="51">
        <f>SUMIF(Fonctionnement[Allocation],AB8,Fonctionnement[Montant])</f>
        <v>0</v>
      </c>
      <c r="AD8" s="51">
        <f>SUMIF(CCTSAS[Allocation fonctions],VariablesInternes[[#This Row],[Fonction]],CCTSAS[Total éligible])</f>
        <v>0</v>
      </c>
      <c r="AE8" s="51">
        <f>SUMIF(SalCommune[Allocations fonctions],VariablesInternes[[#This Row],[Fonction]],SalCommune[Total éligible])</f>
        <v>0</v>
      </c>
      <c r="AG8" t="s">
        <v>116</v>
      </c>
      <c r="AH8" s="51">
        <f>SUMIF(Recettes[Fonctions],RecettesInterne[[#This Row],[Fonction]],Recettes[Montant])</f>
        <v>0</v>
      </c>
    </row>
    <row r="9" spans="1:34" x14ac:dyDescent="0.25">
      <c r="D9" t="s">
        <v>39</v>
      </c>
      <c r="G9" t="s">
        <v>105</v>
      </c>
      <c r="H9" t="s">
        <v>105</v>
      </c>
      <c r="I9" t="s">
        <v>163</v>
      </c>
      <c r="J9" t="s">
        <v>347</v>
      </c>
      <c r="M9" t="s">
        <v>207</v>
      </c>
      <c r="AB9" t="s">
        <v>105</v>
      </c>
      <c r="AC9" s="51">
        <f>SUMIF(Fonctionnement[Allocation],AB9,Fonctionnement[Montant])</f>
        <v>0</v>
      </c>
      <c r="AD9" s="51">
        <f>SUMIF(CCTSAS[Allocation fonctions],VariablesInternes[[#This Row],[Fonction]],CCTSAS[Total éligible])</f>
        <v>0</v>
      </c>
      <c r="AE9" s="51">
        <f>SUMIF(SalCommune[Allocations fonctions],VariablesInternes[[#This Row],[Fonction]],SalCommune[Total éligible])</f>
        <v>0</v>
      </c>
      <c r="AG9" t="s">
        <v>207</v>
      </c>
      <c r="AH9" s="51">
        <f>SUMIF(Recettes[Fonctions],RecettesInterne[[#This Row],[Fonction]],Recettes[Montant])</f>
        <v>0</v>
      </c>
    </row>
    <row r="10" spans="1:34" x14ac:dyDescent="0.25">
      <c r="G10" t="s">
        <v>106</v>
      </c>
      <c r="H10" t="s">
        <v>106</v>
      </c>
      <c r="I10" t="s">
        <v>165</v>
      </c>
      <c r="J10" t="s">
        <v>348</v>
      </c>
      <c r="M10" s="188" t="s">
        <v>547</v>
      </c>
      <c r="AB10" t="s">
        <v>106</v>
      </c>
      <c r="AC10" s="51">
        <f>SUMIF(Fonctionnement[Allocation],AB10,Fonctionnement[Montant])</f>
        <v>0</v>
      </c>
      <c r="AD10" s="51">
        <f>SUMIF(CCTSAS[Allocation fonctions],VariablesInternes[[#This Row],[Fonction]],CCTSAS[Total éligible])</f>
        <v>0</v>
      </c>
      <c r="AE10" s="51">
        <f>SUMIF(SalCommune[Allocations fonctions],VariablesInternes[[#This Row],[Fonction]],SalCommune[Total éligible])</f>
        <v>0</v>
      </c>
      <c r="AG10" t="s">
        <v>33</v>
      </c>
      <c r="AH10" s="31">
        <f>SUBTOTAL(109,RecettesInterne[Recettes])</f>
        <v>0</v>
      </c>
    </row>
    <row r="11" spans="1:34" x14ac:dyDescent="0.25">
      <c r="G11" t="s">
        <v>107</v>
      </c>
      <c r="H11" t="s">
        <v>107</v>
      </c>
      <c r="I11" t="s">
        <v>166</v>
      </c>
      <c r="J11" t="s">
        <v>349</v>
      </c>
      <c r="AB11" t="s">
        <v>107</v>
      </c>
      <c r="AC11" s="51">
        <f>SUMIF(Fonctionnement[Allocation],AB11,Fonctionnement[Montant])</f>
        <v>0</v>
      </c>
      <c r="AD11" s="51">
        <f>SUMIF(CCTSAS[Allocation fonctions],VariablesInternes[[#This Row],[Fonction]],CCTSAS[Total éligible])</f>
        <v>0</v>
      </c>
      <c r="AE11" s="51">
        <f>SUMIF(SalCommune[Allocations fonctions],VariablesInternes[[#This Row],[Fonction]],SalCommune[Total éligible])</f>
        <v>0</v>
      </c>
    </row>
    <row r="12" spans="1:34" x14ac:dyDescent="0.25">
      <c r="G12" t="s">
        <v>108</v>
      </c>
      <c r="H12" t="s">
        <v>108</v>
      </c>
      <c r="I12" t="s">
        <v>168</v>
      </c>
      <c r="J12" t="s">
        <v>350</v>
      </c>
      <c r="AB12" t="s">
        <v>108</v>
      </c>
      <c r="AC12" s="51">
        <f>SUMIF(Fonctionnement[Allocation],AB12,Fonctionnement[Montant])</f>
        <v>0</v>
      </c>
      <c r="AD12" s="51">
        <f>SUMIF(CCTSAS[Allocation fonctions],VariablesInternes[[#This Row],[Fonction]],CCTSAS[Total éligible])</f>
        <v>0</v>
      </c>
      <c r="AE12" s="51">
        <f>SUMIF(SalCommune[Allocations fonctions],VariablesInternes[[#This Row],[Fonction]],SalCommune[Total éligible])</f>
        <v>0</v>
      </c>
    </row>
    <row r="13" spans="1:34" x14ac:dyDescent="0.25">
      <c r="G13" t="s">
        <v>109</v>
      </c>
      <c r="H13" t="s">
        <v>109</v>
      </c>
      <c r="I13" t="s">
        <v>169</v>
      </c>
      <c r="J13" t="s">
        <v>351</v>
      </c>
      <c r="AB13" t="s">
        <v>109</v>
      </c>
      <c r="AC13" s="51">
        <f>SUMIF(Fonctionnement[Allocation],AB13,Fonctionnement[Montant])</f>
        <v>0</v>
      </c>
      <c r="AD13" s="51">
        <f>SUMIF(CCTSAS[Allocation fonctions],VariablesInternes[[#This Row],[Fonction]],CCTSAS[Total éligible])</f>
        <v>0</v>
      </c>
      <c r="AE13" s="51">
        <f>SUMIF(SalCommune[Allocations fonctions],VariablesInternes[[#This Row],[Fonction]],SalCommune[Total éligible])</f>
        <v>0</v>
      </c>
    </row>
    <row r="14" spans="1:34" x14ac:dyDescent="0.25">
      <c r="G14" t="s">
        <v>110</v>
      </c>
      <c r="H14" t="s">
        <v>110</v>
      </c>
      <c r="I14" t="s">
        <v>171</v>
      </c>
      <c r="J14" t="s">
        <v>352</v>
      </c>
      <c r="AB14" t="s">
        <v>110</v>
      </c>
      <c r="AC14" s="51">
        <f>SUMIF(Fonctionnement[Allocation],AB14,Fonctionnement[Montant])</f>
        <v>0</v>
      </c>
      <c r="AD14" s="51">
        <f>SUMIF(CCTSAS[Allocation fonctions],VariablesInternes[[#This Row],[Fonction]],CCTSAS[Total éligible])</f>
        <v>0</v>
      </c>
      <c r="AE14" s="51">
        <f>SUMIF(SalCommune[Allocations fonctions],VariablesInternes[[#This Row],[Fonction]],SalCommune[Total éligible])</f>
        <v>0</v>
      </c>
    </row>
    <row r="15" spans="1:34" x14ac:dyDescent="0.25">
      <c r="G15" t="s">
        <v>111</v>
      </c>
      <c r="H15" t="s">
        <v>111</v>
      </c>
      <c r="I15" t="s">
        <v>172</v>
      </c>
      <c r="J15" t="s">
        <v>353</v>
      </c>
      <c r="AB15" t="s">
        <v>111</v>
      </c>
      <c r="AC15" s="51">
        <f>SUMIF(Fonctionnement[Allocation],AB15,Fonctionnement[Montant])</f>
        <v>0</v>
      </c>
      <c r="AD15" s="51">
        <f>SUMIF(CCTSAS[Allocation fonctions],VariablesInternes[[#This Row],[Fonction]],CCTSAS[Total éligible])</f>
        <v>0</v>
      </c>
      <c r="AE15" s="51">
        <f>SUMIF(SalCommune[Allocations fonctions],VariablesInternes[[#This Row],[Fonction]],SalCommune[Total éligible])</f>
        <v>0</v>
      </c>
    </row>
    <row r="16" spans="1:34" x14ac:dyDescent="0.25">
      <c r="G16" t="s">
        <v>112</v>
      </c>
      <c r="H16" t="s">
        <v>113</v>
      </c>
      <c r="I16" t="s">
        <v>173</v>
      </c>
      <c r="J16" t="s">
        <v>354</v>
      </c>
      <c r="AB16" t="s">
        <v>112</v>
      </c>
      <c r="AC16" s="51">
        <f>SUMIF(Fonctionnement[Allocation],AB16,Fonctionnement[Montant])</f>
        <v>0</v>
      </c>
      <c r="AD16" s="51">
        <f>SUMIF(CCTSAS[Allocation fonctions],VariablesInternes[[#This Row],[Fonction]],CCTSAS[Total éligible])</f>
        <v>0</v>
      </c>
      <c r="AE16" s="51">
        <f>SUMIF(SalCommune[Allocations fonctions],VariablesInternes[[#This Row],[Fonction]],SalCommune[Total éligible])</f>
        <v>0</v>
      </c>
    </row>
    <row r="17" spans="7:34" x14ac:dyDescent="0.25">
      <c r="G17" t="s">
        <v>113</v>
      </c>
      <c r="H17" t="s">
        <v>115</v>
      </c>
      <c r="I17" t="s">
        <v>174</v>
      </c>
      <c r="J17" t="s">
        <v>355</v>
      </c>
      <c r="AB17" t="s">
        <v>113</v>
      </c>
      <c r="AC17" s="51">
        <f>SUMIF(Fonctionnement[Allocation],AB17,Fonctionnement[Montant])</f>
        <v>0</v>
      </c>
      <c r="AD17" s="51">
        <f>SUMIF(CCTSAS[Allocation fonctions],VariablesInternes[[#This Row],[Fonction]],CCTSAS[Total éligible])</f>
        <v>0</v>
      </c>
      <c r="AE17" s="51">
        <f>SUMIF(SalCommune[Allocations fonctions],VariablesInternes[[#This Row],[Fonction]],SalCommune[Total éligible])</f>
        <v>0</v>
      </c>
    </row>
    <row r="18" spans="7:34" x14ac:dyDescent="0.25">
      <c r="G18" t="s">
        <v>114</v>
      </c>
      <c r="H18" t="s">
        <v>116</v>
      </c>
      <c r="I18" t="s">
        <v>176</v>
      </c>
      <c r="J18" t="s">
        <v>356</v>
      </c>
      <c r="AB18" t="s">
        <v>114</v>
      </c>
      <c r="AC18" s="51">
        <f>SUMIF(Fonctionnement[Allocation],AB18,Fonctionnement[Montant])</f>
        <v>0</v>
      </c>
      <c r="AD18" s="51">
        <f>SUMIF(CCTSAS[Allocation fonctions],VariablesInternes[[#This Row],[Fonction]],CCTSAS[Total éligible])</f>
        <v>0</v>
      </c>
      <c r="AE18" s="51">
        <f>SUMIF(SalCommune[Allocations fonctions],VariablesInternes[[#This Row],[Fonction]],SalCommune[Total éligible])</f>
        <v>0</v>
      </c>
    </row>
    <row r="19" spans="7:34" x14ac:dyDescent="0.25">
      <c r="G19" t="s">
        <v>115</v>
      </c>
      <c r="H19" s="188"/>
      <c r="I19" t="s">
        <v>177</v>
      </c>
      <c r="J19" t="s">
        <v>357</v>
      </c>
      <c r="AB19" t="s">
        <v>115</v>
      </c>
      <c r="AC19" s="51">
        <f>SUMIF(Fonctionnement[Allocation],AB19,Fonctionnement[Montant])</f>
        <v>0</v>
      </c>
      <c r="AD19" s="51">
        <f>SUMIF(CCTSAS[Allocation fonctions],VariablesInternes[[#This Row],[Fonction]],CCTSAS[Total éligible])</f>
        <v>0</v>
      </c>
      <c r="AE19" s="51">
        <f>SUMIF(SalCommune[Allocations fonctions],VariablesInternes[[#This Row],[Fonction]],SalCommune[Total éligible])</f>
        <v>0</v>
      </c>
    </row>
    <row r="20" spans="7:34" x14ac:dyDescent="0.25">
      <c r="G20" t="s">
        <v>116</v>
      </c>
      <c r="H20" t="s">
        <v>600</v>
      </c>
      <c r="I20" t="s">
        <v>178</v>
      </c>
      <c r="J20" t="s">
        <v>358</v>
      </c>
      <c r="AB20" t="s">
        <v>116</v>
      </c>
      <c r="AC20" s="51">
        <f>SUMIF(Fonctionnement[Allocation],AB20,Fonctionnement[Montant])</f>
        <v>0</v>
      </c>
      <c r="AD20" s="51">
        <f>SUMIF(CCTSAS[Allocation fonctions],VariablesInternes[[#This Row],[Fonction]],CCTSAS[Total éligible])</f>
        <v>0</v>
      </c>
      <c r="AE20" s="51">
        <f>SUMIF(SalCommune[Allocations fonctions],VariablesInternes[[#This Row],[Fonction]],SalCommune[Total éligible])</f>
        <v>0</v>
      </c>
    </row>
    <row r="21" spans="7:34" x14ac:dyDescent="0.25">
      <c r="G21" s="188"/>
      <c r="H21" t="s">
        <v>601</v>
      </c>
      <c r="I21" t="s">
        <v>180</v>
      </c>
      <c r="J21" t="s">
        <v>359</v>
      </c>
      <c r="AB21" t="s">
        <v>33</v>
      </c>
      <c r="AC21" s="78">
        <f>SUBTOTAL(109,VariablesInternes[FF])</f>
        <v>0</v>
      </c>
      <c r="AD21" s="78">
        <f>SUBTOTAL(109,VariablesInternes[FP SAS])</f>
        <v>0</v>
      </c>
      <c r="AE21" s="78">
        <f>SUBTOTAL(109,VariablesInternes[FP Commune])</f>
        <v>0</v>
      </c>
      <c r="AF21" s="80"/>
    </row>
    <row r="22" spans="7:34" x14ac:dyDescent="0.25">
      <c r="G22" t="s">
        <v>600</v>
      </c>
      <c r="H22" t="s">
        <v>602</v>
      </c>
      <c r="I22" t="s">
        <v>182</v>
      </c>
      <c r="J22" t="s">
        <v>360</v>
      </c>
    </row>
    <row r="23" spans="7:34" x14ac:dyDescent="0.25">
      <c r="G23" t="s">
        <v>601</v>
      </c>
      <c r="H23" t="s">
        <v>603</v>
      </c>
      <c r="I23" t="s">
        <v>184</v>
      </c>
      <c r="J23" t="s">
        <v>361</v>
      </c>
    </row>
    <row r="24" spans="7:34" x14ac:dyDescent="0.25">
      <c r="G24" t="s">
        <v>602</v>
      </c>
      <c r="H24" t="s">
        <v>604</v>
      </c>
      <c r="I24" t="s">
        <v>185</v>
      </c>
      <c r="J24" t="s">
        <v>362</v>
      </c>
      <c r="AB24" s="69" t="s">
        <v>337</v>
      </c>
      <c r="AC24" s="70">
        <f>SUM(Overhead616[Frais directement liés à l''activité - Encadrement])</f>
        <v>0</v>
      </c>
      <c r="AD24" s="70">
        <f>SUM(Overhead616[Frais directement liés à l''activité - Logistique])</f>
        <v>0</v>
      </c>
      <c r="AE24" s="70">
        <f>SUM(Overhead616[Frais indirectement liés à l''activité - Prévues par la loi ])</f>
        <v>0</v>
      </c>
      <c r="AF24" s="70">
        <f>SUM(Overhead616[Frais indirectement liés à l''activité - Autres fonctions - Administration / Logistique])</f>
        <v>0</v>
      </c>
      <c r="AG24" s="70">
        <f>SUM(Overhead616[Frais indirectement liés à l''activité - Autres fonctions - Chargé(e) de direction])</f>
        <v>0</v>
      </c>
      <c r="AH24" s="70">
        <f>SUM(Overhead616[Frais indirectement liés à l''activité - Autres fonctions - Direction générale])</f>
        <v>0</v>
      </c>
    </row>
    <row r="25" spans="7:34" x14ac:dyDescent="0.25">
      <c r="G25" t="s">
        <v>603</v>
      </c>
      <c r="H25" t="s">
        <v>605</v>
      </c>
      <c r="I25" t="s">
        <v>187</v>
      </c>
      <c r="J25" t="s">
        <v>363</v>
      </c>
      <c r="AB25" s="69" t="s">
        <v>418</v>
      </c>
      <c r="AC25" s="77">
        <f>Overhead616[[#Totals],[Frais directement liés à l''activité - Encadrement]]</f>
        <v>0</v>
      </c>
      <c r="AD25" s="77">
        <f>Overhead616[[#Totals],[Frais directement liés à l''activité - Logistique]]</f>
        <v>0</v>
      </c>
      <c r="AE25" s="77">
        <f>Overhead616[[#Totals],[Frais indirectement liés à l''activité - Prévues par la loi ]]</f>
        <v>0</v>
      </c>
      <c r="AF25" s="77">
        <f>Overhead616[[#Totals],[Frais indirectement liés à l''activité - Autres fonctions - Administration / Logistique]]</f>
        <v>0</v>
      </c>
      <c r="AG25" s="77">
        <f>Overhead616[[#Totals],[Frais indirectement liés à l''activité - Autres fonctions - Chargé(e) de direction]]</f>
        <v>0</v>
      </c>
      <c r="AH25" s="77">
        <f>Overhead616[[#Totals],[Frais indirectement liés à l''activité - Autres fonctions - Direction générale]]</f>
        <v>0</v>
      </c>
    </row>
    <row r="26" spans="7:34" ht="15.75" thickBot="1" x14ac:dyDescent="0.3">
      <c r="G26" t="s">
        <v>604</v>
      </c>
      <c r="H26" t="s">
        <v>606</v>
      </c>
      <c r="I26" t="s">
        <v>188</v>
      </c>
      <c r="J26" t="s">
        <v>364</v>
      </c>
      <c r="AB26" s="24" t="s">
        <v>262</v>
      </c>
      <c r="AC26" s="59" t="s">
        <v>375</v>
      </c>
      <c r="AD26" s="52" t="s">
        <v>376</v>
      </c>
      <c r="AE26" s="52" t="s">
        <v>380</v>
      </c>
      <c r="AF26" s="52" t="s">
        <v>377</v>
      </c>
      <c r="AG26" s="52" t="s">
        <v>378</v>
      </c>
      <c r="AH26" s="57" t="s">
        <v>379</v>
      </c>
    </row>
    <row r="27" spans="7:34" ht="15" customHeight="1" x14ac:dyDescent="0.25">
      <c r="G27" t="s">
        <v>605</v>
      </c>
      <c r="H27" t="s">
        <v>607</v>
      </c>
      <c r="I27" t="s">
        <v>190</v>
      </c>
      <c r="J27" t="s">
        <v>365</v>
      </c>
      <c r="AA27" s="573" t="s">
        <v>381</v>
      </c>
      <c r="AB27" s="60" t="s">
        <v>99</v>
      </c>
      <c r="AC27" s="61">
        <f>SUMIFS(Fonctionnement[Montant],Fonctionnement[Allocation],Overhead616[[#This Row],[Fonction]],Fonctionnement[Frais généraux],Overhead616[[#Headers],[Frais directement liés à l''activité - Encadrement]])</f>
        <v>0</v>
      </c>
      <c r="AD27" s="61">
        <f>SUMIFS(Fonctionnement[Montant],Fonctionnement[Allocation],Overhead616[[#This Row],[Fonction]],Fonctionnement[Frais généraux],Overhead616[[#Headers],[Frais directement liés à l''activité - Logistique]])</f>
        <v>0</v>
      </c>
      <c r="AE27" s="61">
        <f>SUMIFS(Fonctionnement[Montant],Fonctionnement[Allocation],Overhead616[[#This Row],[Fonction]],Fonctionnement[Frais généraux],Overhead616[[#Headers],[Frais indirectement liés à l''activité - Prévues par la loi ]])</f>
        <v>0</v>
      </c>
      <c r="AF27" s="61">
        <f>SUMIFS(Fonctionnement[Montant],Fonctionnement[Allocation],Overhead616[[#This Row],[Fonction]],Fonctionnement[Frais généraux],Overhead616[[#Headers],[Frais indirectement liés à l''activité - Autres fonctions - Administration / Logistique]])</f>
        <v>0</v>
      </c>
      <c r="AG27" s="61">
        <f>SUMIFS(Fonctionnement[Montant],Fonctionnement[Allocation],Overhead616[[#This Row],[Fonction]],Fonctionnement[Frais généraux],Overhead616[[#Headers],[Frais indirectement liés à l''activité - Autres fonctions - Chargé(e) de direction]])</f>
        <v>0</v>
      </c>
      <c r="AH27" s="62">
        <f>SUMIFS(Fonctionnement[Montant],Fonctionnement[Allocation],Overhead616[[#This Row],[Fonction]],Fonctionnement[Frais généraux],Overhead616[[#Headers],[Frais indirectement liés à l''activité - Autres fonctions - Direction générale]])</f>
        <v>0</v>
      </c>
    </row>
    <row r="28" spans="7:34" x14ac:dyDescent="0.25">
      <c r="G28" t="s">
        <v>606</v>
      </c>
      <c r="H28" t="s">
        <v>608</v>
      </c>
      <c r="I28" t="s">
        <v>191</v>
      </c>
      <c r="J28" t="s">
        <v>366</v>
      </c>
      <c r="AA28" s="574"/>
      <c r="AB28" s="58" t="s">
        <v>100</v>
      </c>
      <c r="AC28" s="53">
        <f>SUMIFS(Fonctionnement[Montant],Fonctionnement[Allocation],Overhead616[[#This Row],[Fonction]],Fonctionnement[Frais généraux],Overhead616[[#Headers],[Frais directement liés à l''activité - Encadrement]])</f>
        <v>0</v>
      </c>
      <c r="AD28" s="53">
        <f>SUMIFS(Fonctionnement[Montant],Fonctionnement[Allocation],Overhead616[[#This Row],[Fonction]],Fonctionnement[Frais généraux],Overhead616[[#Headers],[Frais directement liés à l''activité - Logistique]])</f>
        <v>0</v>
      </c>
      <c r="AE28" s="53">
        <f>SUMIFS(Fonctionnement[Montant],Fonctionnement[Allocation],Overhead616[[#This Row],[Fonction]],Fonctionnement[Frais généraux],Overhead616[[#Headers],[Frais indirectement liés à l''activité - Prévues par la loi ]])</f>
        <v>0</v>
      </c>
      <c r="AF28" s="53">
        <f>SUMIFS(Fonctionnement[Montant],Fonctionnement[Allocation],Overhead616[[#This Row],[Fonction]],Fonctionnement[Frais généraux],Overhead616[[#Headers],[Frais indirectement liés à l''activité - Autres fonctions - Administration / Logistique]])</f>
        <v>0</v>
      </c>
      <c r="AG28" s="53">
        <f>SUMIFS(Fonctionnement[Montant],Fonctionnement[Allocation],Overhead616[[#This Row],[Fonction]],Fonctionnement[Frais généraux],Overhead616[[#Headers],[Frais indirectement liés à l''activité - Autres fonctions - Chargé(e) de direction]])</f>
        <v>0</v>
      </c>
      <c r="AH28" s="54">
        <f>SUMIFS(Fonctionnement[Montant],Fonctionnement[Allocation],Overhead616[[#This Row],[Fonction]],Fonctionnement[Frais généraux],Overhead616[[#Headers],[Frais indirectement liés à l''activité - Autres fonctions - Direction générale]])</f>
        <v>0</v>
      </c>
    </row>
    <row r="29" spans="7:34" x14ac:dyDescent="0.25">
      <c r="G29" t="s">
        <v>607</v>
      </c>
      <c r="H29" t="s">
        <v>609</v>
      </c>
      <c r="I29" t="s">
        <v>193</v>
      </c>
      <c r="J29" t="s">
        <v>367</v>
      </c>
      <c r="AA29" s="574"/>
      <c r="AB29" s="58" t="s">
        <v>101</v>
      </c>
      <c r="AC29" s="53">
        <f>SUMIFS(Fonctionnement[Montant],Fonctionnement[Allocation],Overhead616[[#This Row],[Fonction]],Fonctionnement[Frais généraux],Overhead616[[#Headers],[Frais directement liés à l''activité - Encadrement]])</f>
        <v>0</v>
      </c>
      <c r="AD29" s="53">
        <f>SUMIFS(Fonctionnement[Montant],Fonctionnement[Allocation],Overhead616[[#This Row],[Fonction]],Fonctionnement[Frais généraux],Overhead616[[#Headers],[Frais directement liés à l''activité - Logistique]])</f>
        <v>0</v>
      </c>
      <c r="AE29" s="53">
        <f>SUMIFS(Fonctionnement[Montant],Fonctionnement[Allocation],Overhead616[[#This Row],[Fonction]],Fonctionnement[Frais généraux],Overhead616[[#Headers],[Frais indirectement liés à l''activité - Prévues par la loi ]])</f>
        <v>0</v>
      </c>
      <c r="AF29" s="53">
        <f>SUMIFS(Fonctionnement[Montant],Fonctionnement[Allocation],Overhead616[[#This Row],[Fonction]],Fonctionnement[Frais généraux],Overhead616[[#Headers],[Frais indirectement liés à l''activité - Autres fonctions - Administration / Logistique]])</f>
        <v>0</v>
      </c>
      <c r="AG29" s="53">
        <f>SUMIFS(Fonctionnement[Montant],Fonctionnement[Allocation],Overhead616[[#This Row],[Fonction]],Fonctionnement[Frais généraux],Overhead616[[#Headers],[Frais indirectement liés à l''activité - Autres fonctions - Chargé(e) de direction]])</f>
        <v>0</v>
      </c>
      <c r="AH29" s="54">
        <f>SUMIFS(Fonctionnement[Montant],Fonctionnement[Allocation],Overhead616[[#This Row],[Fonction]],Fonctionnement[Frais généraux],Overhead616[[#Headers],[Frais indirectement liés à l''activité - Autres fonctions - Direction générale]])</f>
        <v>0</v>
      </c>
    </row>
    <row r="30" spans="7:34" x14ac:dyDescent="0.25">
      <c r="G30" t="s">
        <v>608</v>
      </c>
      <c r="H30" t="s">
        <v>610</v>
      </c>
      <c r="J30" t="s">
        <v>368</v>
      </c>
      <c r="AA30" s="574"/>
      <c r="AB30" s="58" t="s">
        <v>102</v>
      </c>
      <c r="AC30" s="53">
        <f>SUMIFS(Fonctionnement[Montant],Fonctionnement[Allocation],Overhead616[[#This Row],[Fonction]],Fonctionnement[Frais généraux],Overhead616[[#Headers],[Frais directement liés à l''activité - Encadrement]])</f>
        <v>0</v>
      </c>
      <c r="AD30" s="53">
        <f>SUMIFS(Fonctionnement[Montant],Fonctionnement[Allocation],Overhead616[[#This Row],[Fonction]],Fonctionnement[Frais généraux],Overhead616[[#Headers],[Frais directement liés à l''activité - Logistique]])</f>
        <v>0</v>
      </c>
      <c r="AE30" s="53">
        <f>SUMIFS(Fonctionnement[Montant],Fonctionnement[Allocation],Overhead616[[#This Row],[Fonction]],Fonctionnement[Frais généraux],Overhead616[[#Headers],[Frais indirectement liés à l''activité - Prévues par la loi ]])</f>
        <v>0</v>
      </c>
      <c r="AF30" s="53">
        <f>SUMIFS(Fonctionnement[Montant],Fonctionnement[Allocation],Overhead616[[#This Row],[Fonction]],Fonctionnement[Frais généraux],Overhead616[[#Headers],[Frais indirectement liés à l''activité - Autres fonctions - Administration / Logistique]])</f>
        <v>0</v>
      </c>
      <c r="AG30" s="53">
        <f>SUMIFS(Fonctionnement[Montant],Fonctionnement[Allocation],Overhead616[[#This Row],[Fonction]],Fonctionnement[Frais généraux],Overhead616[[#Headers],[Frais indirectement liés à l''activité - Autres fonctions - Chargé(e) de direction]])</f>
        <v>0</v>
      </c>
      <c r="AH30" s="54">
        <f>SUMIFS(Fonctionnement[Montant],Fonctionnement[Allocation],Overhead616[[#This Row],[Fonction]],Fonctionnement[Frais généraux],Overhead616[[#Headers],[Frais indirectement liés à l''activité - Autres fonctions - Direction générale]])</f>
        <v>0</v>
      </c>
    </row>
    <row r="31" spans="7:34" x14ac:dyDescent="0.25">
      <c r="G31" t="s">
        <v>609</v>
      </c>
      <c r="H31" t="s">
        <v>611</v>
      </c>
      <c r="I31" t="s">
        <v>194</v>
      </c>
      <c r="J31" t="s">
        <v>206</v>
      </c>
      <c r="AA31" s="574"/>
      <c r="AB31" s="58" t="s">
        <v>103</v>
      </c>
      <c r="AC31" s="53">
        <f>SUMIFS(Fonctionnement[Montant],Fonctionnement[Allocation],Overhead616[[#This Row],[Fonction]],Fonctionnement[Frais généraux],Overhead616[[#Headers],[Frais directement liés à l''activité - Encadrement]])</f>
        <v>0</v>
      </c>
      <c r="AD31" s="53">
        <f>SUMIFS(Fonctionnement[Montant],Fonctionnement[Allocation],Overhead616[[#This Row],[Fonction]],Fonctionnement[Frais généraux],Overhead616[[#Headers],[Frais directement liés à l''activité - Logistique]])</f>
        <v>0</v>
      </c>
      <c r="AE31" s="53">
        <f>SUMIFS(Fonctionnement[Montant],Fonctionnement[Allocation],Overhead616[[#This Row],[Fonction]],Fonctionnement[Frais généraux],Overhead616[[#Headers],[Frais indirectement liés à l''activité - Prévues par la loi ]])</f>
        <v>0</v>
      </c>
      <c r="AF31" s="53">
        <f>SUMIFS(Fonctionnement[Montant],Fonctionnement[Allocation],Overhead616[[#This Row],[Fonction]],Fonctionnement[Frais généraux],Overhead616[[#Headers],[Frais indirectement liés à l''activité - Autres fonctions - Administration / Logistique]])</f>
        <v>0</v>
      </c>
      <c r="AG31" s="53">
        <f>SUMIFS(Fonctionnement[Montant],Fonctionnement[Allocation],Overhead616[[#This Row],[Fonction]],Fonctionnement[Frais généraux],Overhead616[[#Headers],[Frais indirectement liés à l''activité - Autres fonctions - Chargé(e) de direction]])</f>
        <v>0</v>
      </c>
      <c r="AH31" s="54">
        <f>SUMIFS(Fonctionnement[Montant],Fonctionnement[Allocation],Overhead616[[#This Row],[Fonction]],Fonctionnement[Frais généraux],Overhead616[[#Headers],[Frais indirectement liés à l''activité - Autres fonctions - Direction générale]])</f>
        <v>0</v>
      </c>
    </row>
    <row r="32" spans="7:34" x14ac:dyDescent="0.25">
      <c r="G32" t="s">
        <v>610</v>
      </c>
      <c r="H32" t="s">
        <v>612</v>
      </c>
      <c r="I32" t="s">
        <v>196</v>
      </c>
      <c r="J32" t="s">
        <v>369</v>
      </c>
      <c r="AA32" s="574"/>
      <c r="AB32" s="58" t="s">
        <v>117</v>
      </c>
      <c r="AC32" s="53">
        <f>SUMIFS(Fonctionnement[Montant],Fonctionnement[Allocation],Overhead616[[#This Row],[Fonction]],Fonctionnement[Frais généraux],Overhead616[[#Headers],[Frais directement liés à l''activité - Encadrement]])</f>
        <v>0</v>
      </c>
      <c r="AD32" s="53">
        <f>SUMIFS(Fonctionnement[Montant],Fonctionnement[Allocation],Overhead616[[#This Row],[Fonction]],Fonctionnement[Frais généraux],Overhead616[[#Headers],[Frais directement liés à l''activité - Logistique]])</f>
        <v>0</v>
      </c>
      <c r="AE32" s="53">
        <f>SUMIFS(Fonctionnement[Montant],Fonctionnement[Allocation],Overhead616[[#This Row],[Fonction]],Fonctionnement[Frais généraux],Overhead616[[#Headers],[Frais indirectement liés à l''activité - Prévues par la loi ]])</f>
        <v>0</v>
      </c>
      <c r="AF32" s="53">
        <f>SUMIFS(Fonctionnement[Montant],Fonctionnement[Allocation],Overhead616[[#This Row],[Fonction]],Fonctionnement[Frais généraux],Overhead616[[#Headers],[Frais indirectement liés à l''activité - Autres fonctions - Administration / Logistique]])</f>
        <v>0</v>
      </c>
      <c r="AG32" s="53">
        <f>SUMIFS(Fonctionnement[Montant],Fonctionnement[Allocation],Overhead616[[#This Row],[Fonction]],Fonctionnement[Frais généraux],Overhead616[[#Headers],[Frais indirectement liés à l''activité - Autres fonctions - Chargé(e) de direction]])</f>
        <v>0</v>
      </c>
      <c r="AH32" s="54">
        <f>SUMIFS(Fonctionnement[Montant],Fonctionnement[Allocation],Overhead616[[#This Row],[Fonction]],Fonctionnement[Frais généraux],Overhead616[[#Headers],[Frais indirectement liés à l''activité - Autres fonctions - Direction générale]])</f>
        <v>0</v>
      </c>
    </row>
    <row r="33" spans="7:34" x14ac:dyDescent="0.25">
      <c r="G33" t="s">
        <v>611</v>
      </c>
      <c r="H33" t="s">
        <v>613</v>
      </c>
      <c r="I33" t="s">
        <v>199</v>
      </c>
      <c r="J33" t="s">
        <v>370</v>
      </c>
      <c r="AA33" s="574"/>
      <c r="AB33" s="58" t="s">
        <v>104</v>
      </c>
      <c r="AC33" s="53">
        <f>SUMIFS(Fonctionnement[Montant],Fonctionnement[Allocation],Overhead616[[#This Row],[Fonction]],Fonctionnement[Frais généraux],Overhead616[[#Headers],[Frais directement liés à l''activité - Encadrement]])</f>
        <v>0</v>
      </c>
      <c r="AD33" s="53">
        <f>SUMIFS(Fonctionnement[Montant],Fonctionnement[Allocation],Overhead616[[#This Row],[Fonction]],Fonctionnement[Frais généraux],Overhead616[[#Headers],[Frais directement liés à l''activité - Logistique]])</f>
        <v>0</v>
      </c>
      <c r="AE33" s="53">
        <f>SUMIFS(Fonctionnement[Montant],Fonctionnement[Allocation],Overhead616[[#This Row],[Fonction]],Fonctionnement[Frais généraux],Overhead616[[#Headers],[Frais indirectement liés à l''activité - Prévues par la loi ]])</f>
        <v>0</v>
      </c>
      <c r="AF33" s="53">
        <f>SUMIFS(Fonctionnement[Montant],Fonctionnement[Allocation],Overhead616[[#This Row],[Fonction]],Fonctionnement[Frais généraux],Overhead616[[#Headers],[Frais indirectement liés à l''activité - Autres fonctions - Administration / Logistique]])</f>
        <v>0</v>
      </c>
      <c r="AG33" s="53">
        <f>SUMIFS(Fonctionnement[Montant],Fonctionnement[Allocation],Overhead616[[#This Row],[Fonction]],Fonctionnement[Frais généraux],Overhead616[[#Headers],[Frais indirectement liés à l''activité - Autres fonctions - Chargé(e) de direction]])</f>
        <v>0</v>
      </c>
      <c r="AH33" s="54">
        <f>SUMIFS(Fonctionnement[Montant],Fonctionnement[Allocation],Overhead616[[#This Row],[Fonction]],Fonctionnement[Frais généraux],Overhead616[[#Headers],[Frais indirectement liés à l''activité - Autres fonctions - Direction générale]])</f>
        <v>0</v>
      </c>
    </row>
    <row r="34" spans="7:34" x14ac:dyDescent="0.25">
      <c r="G34" t="s">
        <v>612</v>
      </c>
      <c r="H34" t="s">
        <v>614</v>
      </c>
      <c r="I34" t="s">
        <v>201</v>
      </c>
      <c r="J34" t="s">
        <v>371</v>
      </c>
      <c r="AA34" s="574"/>
      <c r="AB34" s="58" t="s">
        <v>105</v>
      </c>
      <c r="AC34" s="53">
        <f>SUMIFS(Fonctionnement[Montant],Fonctionnement[Allocation],Overhead616[[#This Row],[Fonction]],Fonctionnement[Frais généraux],Overhead616[[#Headers],[Frais directement liés à l''activité - Encadrement]])</f>
        <v>0</v>
      </c>
      <c r="AD34" s="53">
        <f>SUMIFS(Fonctionnement[Montant],Fonctionnement[Allocation],Overhead616[[#This Row],[Fonction]],Fonctionnement[Frais généraux],Overhead616[[#Headers],[Frais directement liés à l''activité - Logistique]])</f>
        <v>0</v>
      </c>
      <c r="AE34" s="53">
        <f>SUMIFS(Fonctionnement[Montant],Fonctionnement[Allocation],Overhead616[[#This Row],[Fonction]],Fonctionnement[Frais généraux],Overhead616[[#Headers],[Frais indirectement liés à l''activité - Prévues par la loi ]])</f>
        <v>0</v>
      </c>
      <c r="AF34" s="53">
        <f>SUMIFS(Fonctionnement[Montant],Fonctionnement[Allocation],Overhead616[[#This Row],[Fonction]],Fonctionnement[Frais généraux],Overhead616[[#Headers],[Frais indirectement liés à l''activité - Autres fonctions - Administration / Logistique]])</f>
        <v>0</v>
      </c>
      <c r="AG34" s="53">
        <f>SUMIFS(Fonctionnement[Montant],Fonctionnement[Allocation],Overhead616[[#This Row],[Fonction]],Fonctionnement[Frais généraux],Overhead616[[#Headers],[Frais indirectement liés à l''activité - Autres fonctions - Chargé(e) de direction]])</f>
        <v>0</v>
      </c>
      <c r="AH34" s="54">
        <f>SUMIFS(Fonctionnement[Montant],Fonctionnement[Allocation],Overhead616[[#This Row],[Fonction]],Fonctionnement[Frais généraux],Overhead616[[#Headers],[Frais indirectement liés à l''activité - Autres fonctions - Direction générale]])</f>
        <v>0</v>
      </c>
    </row>
    <row r="35" spans="7:34" x14ac:dyDescent="0.25">
      <c r="G35" t="s">
        <v>613</v>
      </c>
      <c r="H35" t="s">
        <v>615</v>
      </c>
      <c r="I35" t="s">
        <v>203</v>
      </c>
      <c r="AA35" s="574"/>
      <c r="AB35" s="58" t="s">
        <v>106</v>
      </c>
      <c r="AC35" s="53">
        <f>SUMIFS(Fonctionnement[Montant],Fonctionnement[Allocation],Overhead616[[#This Row],[Fonction]],Fonctionnement[Frais généraux],Overhead616[[#Headers],[Frais directement liés à l''activité - Encadrement]])</f>
        <v>0</v>
      </c>
      <c r="AD35" s="53">
        <f>SUMIFS(Fonctionnement[Montant],Fonctionnement[Allocation],Overhead616[[#This Row],[Fonction]],Fonctionnement[Frais généraux],Overhead616[[#Headers],[Frais directement liés à l''activité - Logistique]])</f>
        <v>0</v>
      </c>
      <c r="AE35" s="53">
        <f>SUMIFS(Fonctionnement[Montant],Fonctionnement[Allocation],Overhead616[[#This Row],[Fonction]],Fonctionnement[Frais généraux],Overhead616[[#Headers],[Frais indirectement liés à l''activité - Prévues par la loi ]])</f>
        <v>0</v>
      </c>
      <c r="AF35" s="53">
        <f>SUMIFS(Fonctionnement[Montant],Fonctionnement[Allocation],Overhead616[[#This Row],[Fonction]],Fonctionnement[Frais généraux],Overhead616[[#Headers],[Frais indirectement liés à l''activité - Autres fonctions - Administration / Logistique]])</f>
        <v>0</v>
      </c>
      <c r="AG35" s="53">
        <f>SUMIFS(Fonctionnement[Montant],Fonctionnement[Allocation],Overhead616[[#This Row],[Fonction]],Fonctionnement[Frais généraux],Overhead616[[#Headers],[Frais indirectement liés à l''activité - Autres fonctions - Chargé(e) de direction]])</f>
        <v>0</v>
      </c>
      <c r="AH35" s="54">
        <f>SUMIFS(Fonctionnement[Montant],Fonctionnement[Allocation],Overhead616[[#This Row],[Fonction]],Fonctionnement[Frais généraux],Overhead616[[#Headers],[Frais indirectement liés à l''activité - Autres fonctions - Direction générale]])</f>
        <v>0</v>
      </c>
    </row>
    <row r="36" spans="7:34" x14ac:dyDescent="0.25">
      <c r="G36" t="s">
        <v>617</v>
      </c>
      <c r="H36" t="s">
        <v>616</v>
      </c>
      <c r="I36" t="s">
        <v>205</v>
      </c>
      <c r="AA36" s="574"/>
      <c r="AB36" s="58" t="s">
        <v>107</v>
      </c>
      <c r="AC36" s="53">
        <f>SUMIFS(Fonctionnement[Montant],Fonctionnement[Allocation],Overhead616[[#This Row],[Fonction]],Fonctionnement[Frais généraux],Overhead616[[#Headers],[Frais directement liés à l''activité - Encadrement]])</f>
        <v>0</v>
      </c>
      <c r="AD36" s="53">
        <f>SUMIFS(Fonctionnement[Montant],Fonctionnement[Allocation],Overhead616[[#This Row],[Fonction]],Fonctionnement[Frais généraux],Overhead616[[#Headers],[Frais directement liés à l''activité - Logistique]])</f>
        <v>0</v>
      </c>
      <c r="AE36" s="53">
        <f>SUMIFS(Fonctionnement[Montant],Fonctionnement[Allocation],Overhead616[[#This Row],[Fonction]],Fonctionnement[Frais généraux],Overhead616[[#Headers],[Frais indirectement liés à l''activité - Prévues par la loi ]])</f>
        <v>0</v>
      </c>
      <c r="AF36" s="53">
        <f>SUMIFS(Fonctionnement[Montant],Fonctionnement[Allocation],Overhead616[[#This Row],[Fonction]],Fonctionnement[Frais généraux],Overhead616[[#Headers],[Frais indirectement liés à l''activité - Autres fonctions - Administration / Logistique]])</f>
        <v>0</v>
      </c>
      <c r="AG36" s="53">
        <f>SUMIFS(Fonctionnement[Montant],Fonctionnement[Allocation],Overhead616[[#This Row],[Fonction]],Fonctionnement[Frais généraux],Overhead616[[#Headers],[Frais indirectement liés à l''activité - Autres fonctions - Chargé(e) de direction]])</f>
        <v>0</v>
      </c>
      <c r="AH36" s="54">
        <f>SUMIFS(Fonctionnement[Montant],Fonctionnement[Allocation],Overhead616[[#This Row],[Fonction]],Fonctionnement[Frais généraux],Overhead616[[#Headers],[Frais indirectement liés à l''activité - Autres fonctions - Direction générale]])</f>
        <v>0</v>
      </c>
    </row>
    <row r="37" spans="7:34" x14ac:dyDescent="0.25">
      <c r="G37" t="s">
        <v>614</v>
      </c>
      <c r="I37" t="s">
        <v>206</v>
      </c>
      <c r="AA37" s="574"/>
      <c r="AB37" s="58" t="s">
        <v>108</v>
      </c>
      <c r="AC37" s="53">
        <f>SUMIFS(Fonctionnement[Montant],Fonctionnement[Allocation],Overhead616[[#This Row],[Fonction]],Fonctionnement[Frais généraux],Overhead616[[#Headers],[Frais directement liés à l''activité - Encadrement]])</f>
        <v>0</v>
      </c>
      <c r="AD37" s="53">
        <f>SUMIFS(Fonctionnement[Montant],Fonctionnement[Allocation],Overhead616[[#This Row],[Fonction]],Fonctionnement[Frais généraux],Overhead616[[#Headers],[Frais directement liés à l''activité - Logistique]])</f>
        <v>0</v>
      </c>
      <c r="AE37" s="53">
        <f>SUMIFS(Fonctionnement[Montant],Fonctionnement[Allocation],Overhead616[[#This Row],[Fonction]],Fonctionnement[Frais généraux],Overhead616[[#Headers],[Frais indirectement liés à l''activité - Prévues par la loi ]])</f>
        <v>0</v>
      </c>
      <c r="AF37" s="53">
        <f>SUMIFS(Fonctionnement[Montant],Fonctionnement[Allocation],Overhead616[[#This Row],[Fonction]],Fonctionnement[Frais généraux],Overhead616[[#Headers],[Frais indirectement liés à l''activité - Autres fonctions - Administration / Logistique]])</f>
        <v>0</v>
      </c>
      <c r="AG37" s="53">
        <f>SUMIFS(Fonctionnement[Montant],Fonctionnement[Allocation],Overhead616[[#This Row],[Fonction]],Fonctionnement[Frais généraux],Overhead616[[#Headers],[Frais indirectement liés à l''activité - Autres fonctions - Chargé(e) de direction]])</f>
        <v>0</v>
      </c>
      <c r="AH37" s="54">
        <f>SUMIFS(Fonctionnement[Montant],Fonctionnement[Allocation],Overhead616[[#This Row],[Fonction]],Fonctionnement[Frais généraux],Overhead616[[#Headers],[Frais indirectement liés à l''activité - Autres fonctions - Direction générale]])</f>
        <v>0</v>
      </c>
    </row>
    <row r="38" spans="7:34" x14ac:dyDescent="0.25">
      <c r="G38" t="s">
        <v>618</v>
      </c>
      <c r="I38" t="s">
        <v>207</v>
      </c>
      <c r="AA38" s="574"/>
      <c r="AB38" s="58" t="s">
        <v>109</v>
      </c>
      <c r="AC38" s="53">
        <f>SUMIFS(Fonctionnement[Montant],Fonctionnement[Allocation],Overhead616[[#This Row],[Fonction]],Fonctionnement[Frais généraux],Overhead616[[#Headers],[Frais directement liés à l''activité - Encadrement]])</f>
        <v>0</v>
      </c>
      <c r="AD38" s="53">
        <f>SUMIFS(Fonctionnement[Montant],Fonctionnement[Allocation],Overhead616[[#This Row],[Fonction]],Fonctionnement[Frais généraux],Overhead616[[#Headers],[Frais directement liés à l''activité - Logistique]])</f>
        <v>0</v>
      </c>
      <c r="AE38" s="53">
        <f>SUMIFS(Fonctionnement[Montant],Fonctionnement[Allocation],Overhead616[[#This Row],[Fonction]],Fonctionnement[Frais généraux],Overhead616[[#Headers],[Frais indirectement liés à l''activité - Prévues par la loi ]])</f>
        <v>0</v>
      </c>
      <c r="AF38" s="53">
        <f>SUMIFS(Fonctionnement[Montant],Fonctionnement[Allocation],Overhead616[[#This Row],[Fonction]],Fonctionnement[Frais généraux],Overhead616[[#Headers],[Frais indirectement liés à l''activité - Autres fonctions - Administration / Logistique]])</f>
        <v>0</v>
      </c>
      <c r="AG38" s="53">
        <f>SUMIFS(Fonctionnement[Montant],Fonctionnement[Allocation],Overhead616[[#This Row],[Fonction]],Fonctionnement[Frais généraux],Overhead616[[#Headers],[Frais indirectement liés à l''activité - Autres fonctions - Chargé(e) de direction]])</f>
        <v>0</v>
      </c>
      <c r="AH38" s="54">
        <f>SUMIFS(Fonctionnement[Montant],Fonctionnement[Allocation],Overhead616[[#This Row],[Fonction]],Fonctionnement[Frais généraux],Overhead616[[#Headers],[Frais indirectement liés à l''activité - Autres fonctions - Direction générale]])</f>
        <v>0</v>
      </c>
    </row>
    <row r="39" spans="7:34" x14ac:dyDescent="0.25">
      <c r="G39" t="s">
        <v>615</v>
      </c>
      <c r="I39" t="s">
        <v>263</v>
      </c>
      <c r="AA39" s="574"/>
      <c r="AB39" s="58" t="s">
        <v>110</v>
      </c>
      <c r="AC39" s="53">
        <f>SUMIFS(Fonctionnement[Montant],Fonctionnement[Allocation],Overhead616[[#This Row],[Fonction]],Fonctionnement[Frais généraux],Overhead616[[#Headers],[Frais directement liés à l''activité - Encadrement]])</f>
        <v>0</v>
      </c>
      <c r="AD39" s="53">
        <f>SUMIFS(Fonctionnement[Montant],Fonctionnement[Allocation],Overhead616[[#This Row],[Fonction]],Fonctionnement[Frais généraux],Overhead616[[#Headers],[Frais directement liés à l''activité - Logistique]])</f>
        <v>0</v>
      </c>
      <c r="AE39" s="53">
        <f>SUMIFS(Fonctionnement[Montant],Fonctionnement[Allocation],Overhead616[[#This Row],[Fonction]],Fonctionnement[Frais généraux],Overhead616[[#Headers],[Frais indirectement liés à l''activité - Prévues par la loi ]])</f>
        <v>0</v>
      </c>
      <c r="AF39" s="53">
        <f>SUMIFS(Fonctionnement[Montant],Fonctionnement[Allocation],Overhead616[[#This Row],[Fonction]],Fonctionnement[Frais généraux],Overhead616[[#Headers],[Frais indirectement liés à l''activité - Autres fonctions - Administration / Logistique]])</f>
        <v>0</v>
      </c>
      <c r="AG39" s="53">
        <f>SUMIFS(Fonctionnement[Montant],Fonctionnement[Allocation],Overhead616[[#This Row],[Fonction]],Fonctionnement[Frais généraux],Overhead616[[#Headers],[Frais indirectement liés à l''activité - Autres fonctions - Chargé(e) de direction]])</f>
        <v>0</v>
      </c>
      <c r="AH39" s="54">
        <f>SUMIFS(Fonctionnement[Montant],Fonctionnement[Allocation],Overhead616[[#This Row],[Fonction]],Fonctionnement[Frais généraux],Overhead616[[#Headers],[Frais indirectement liés à l''activité - Autres fonctions - Direction générale]])</f>
        <v>0</v>
      </c>
    </row>
    <row r="40" spans="7:34" x14ac:dyDescent="0.25">
      <c r="G40" t="s">
        <v>616</v>
      </c>
      <c r="I40" t="s">
        <v>264</v>
      </c>
      <c r="AA40" s="574"/>
      <c r="AB40" s="58" t="s">
        <v>111</v>
      </c>
      <c r="AC40" s="53">
        <f>SUMIFS(Fonctionnement[Montant],Fonctionnement[Allocation],Overhead616[[#This Row],[Fonction]],Fonctionnement[Frais généraux],Overhead616[[#Headers],[Frais directement liés à l''activité - Encadrement]])</f>
        <v>0</v>
      </c>
      <c r="AD40" s="53">
        <f>SUMIFS(Fonctionnement[Montant],Fonctionnement[Allocation],Overhead616[[#This Row],[Fonction]],Fonctionnement[Frais généraux],Overhead616[[#Headers],[Frais directement liés à l''activité - Logistique]])</f>
        <v>0</v>
      </c>
      <c r="AE40" s="53">
        <f>SUMIFS(Fonctionnement[Montant],Fonctionnement[Allocation],Overhead616[[#This Row],[Fonction]],Fonctionnement[Frais généraux],Overhead616[[#Headers],[Frais indirectement liés à l''activité - Prévues par la loi ]])</f>
        <v>0</v>
      </c>
      <c r="AF40" s="53">
        <f>SUMIFS(Fonctionnement[Montant],Fonctionnement[Allocation],Overhead616[[#This Row],[Fonction]],Fonctionnement[Frais généraux],Overhead616[[#Headers],[Frais indirectement liés à l''activité - Autres fonctions - Administration / Logistique]])</f>
        <v>0</v>
      </c>
      <c r="AG40" s="53">
        <f>SUMIFS(Fonctionnement[Montant],Fonctionnement[Allocation],Overhead616[[#This Row],[Fonction]],Fonctionnement[Frais généraux],Overhead616[[#Headers],[Frais indirectement liés à l''activité - Autres fonctions - Chargé(e) de direction]])</f>
        <v>0</v>
      </c>
      <c r="AH40" s="54">
        <f>SUMIFS(Fonctionnement[Montant],Fonctionnement[Allocation],Overhead616[[#This Row],[Fonction]],Fonctionnement[Frais généraux],Overhead616[[#Headers],[Frais indirectement liés à l''activité - Autres fonctions - Direction générale]])</f>
        <v>0</v>
      </c>
    </row>
    <row r="41" spans="7:34" x14ac:dyDescent="0.25">
      <c r="I41" t="s">
        <v>265</v>
      </c>
      <c r="AA41" s="574"/>
      <c r="AB41" s="58" t="s">
        <v>112</v>
      </c>
      <c r="AC41" s="53">
        <f>SUMIFS(Fonctionnement[Montant],Fonctionnement[Allocation],Overhead616[[#This Row],[Fonction]],Fonctionnement[Frais généraux],Overhead616[[#Headers],[Frais directement liés à l''activité - Encadrement]])</f>
        <v>0</v>
      </c>
      <c r="AD41" s="53">
        <f>SUMIFS(Fonctionnement[Montant],Fonctionnement[Allocation],Overhead616[[#This Row],[Fonction]],Fonctionnement[Frais généraux],Overhead616[[#Headers],[Frais directement liés à l''activité - Logistique]])</f>
        <v>0</v>
      </c>
      <c r="AE41" s="53">
        <f>SUMIFS(Fonctionnement[Montant],Fonctionnement[Allocation],Overhead616[[#This Row],[Fonction]],Fonctionnement[Frais généraux],Overhead616[[#Headers],[Frais indirectement liés à l''activité - Prévues par la loi ]])</f>
        <v>0</v>
      </c>
      <c r="AF41" s="53">
        <f>SUMIFS(Fonctionnement[Montant],Fonctionnement[Allocation],Overhead616[[#This Row],[Fonction]],Fonctionnement[Frais généraux],Overhead616[[#Headers],[Frais indirectement liés à l''activité - Autres fonctions - Administration / Logistique]])</f>
        <v>0</v>
      </c>
      <c r="AG41" s="53">
        <f>SUMIFS(Fonctionnement[Montant],Fonctionnement[Allocation],Overhead616[[#This Row],[Fonction]],Fonctionnement[Frais généraux],Overhead616[[#Headers],[Frais indirectement liés à l''activité - Autres fonctions - Chargé(e) de direction]])</f>
        <v>0</v>
      </c>
      <c r="AH41" s="54">
        <f>SUMIFS(Fonctionnement[Montant],Fonctionnement[Allocation],Overhead616[[#This Row],[Fonction]],Fonctionnement[Frais généraux],Overhead616[[#Headers],[Frais indirectement liés à l''activité - Autres fonctions - Direction générale]])</f>
        <v>0</v>
      </c>
    </row>
    <row r="42" spans="7:34" x14ac:dyDescent="0.25">
      <c r="I42" t="s">
        <v>266</v>
      </c>
      <c r="AA42" s="574"/>
      <c r="AB42" s="58" t="s">
        <v>113</v>
      </c>
      <c r="AC42" s="53">
        <f>SUMIFS(Fonctionnement[Montant],Fonctionnement[Allocation],Overhead616[[#This Row],[Fonction]],Fonctionnement[Frais généraux],Overhead616[[#Headers],[Frais directement liés à l''activité - Encadrement]])</f>
        <v>0</v>
      </c>
      <c r="AD42" s="53">
        <f>SUMIFS(Fonctionnement[Montant],Fonctionnement[Allocation],Overhead616[[#This Row],[Fonction]],Fonctionnement[Frais généraux],Overhead616[[#Headers],[Frais directement liés à l''activité - Logistique]])</f>
        <v>0</v>
      </c>
      <c r="AE42" s="53">
        <f>SUMIFS(Fonctionnement[Montant],Fonctionnement[Allocation],Overhead616[[#This Row],[Fonction]],Fonctionnement[Frais généraux],Overhead616[[#Headers],[Frais indirectement liés à l''activité - Prévues par la loi ]])</f>
        <v>0</v>
      </c>
      <c r="AF42" s="53">
        <f>SUMIFS(Fonctionnement[Montant],Fonctionnement[Allocation],Overhead616[[#This Row],[Fonction]],Fonctionnement[Frais généraux],Overhead616[[#Headers],[Frais indirectement liés à l''activité - Autres fonctions - Administration / Logistique]])</f>
        <v>0</v>
      </c>
      <c r="AG42" s="53">
        <f>SUMIFS(Fonctionnement[Montant],Fonctionnement[Allocation],Overhead616[[#This Row],[Fonction]],Fonctionnement[Frais généraux],Overhead616[[#Headers],[Frais indirectement liés à l''activité - Autres fonctions - Chargé(e) de direction]])</f>
        <v>0</v>
      </c>
      <c r="AH42" s="54">
        <f>SUMIFS(Fonctionnement[Montant],Fonctionnement[Allocation],Overhead616[[#This Row],[Fonction]],Fonctionnement[Frais généraux],Overhead616[[#Headers],[Frais indirectement liés à l''activité - Autres fonctions - Direction générale]])</f>
        <v>0</v>
      </c>
    </row>
    <row r="43" spans="7:34" x14ac:dyDescent="0.25">
      <c r="I43" t="s">
        <v>267</v>
      </c>
      <c r="AA43" s="574"/>
      <c r="AB43" s="58" t="s">
        <v>114</v>
      </c>
      <c r="AC43" s="53">
        <f>SUMIFS(Fonctionnement[Montant],Fonctionnement[Allocation],Overhead616[[#This Row],[Fonction]],Fonctionnement[Frais généraux],Overhead616[[#Headers],[Frais directement liés à l''activité - Encadrement]])</f>
        <v>0</v>
      </c>
      <c r="AD43" s="53">
        <f>SUMIFS(Fonctionnement[Montant],Fonctionnement[Allocation],Overhead616[[#This Row],[Fonction]],Fonctionnement[Frais généraux],Overhead616[[#Headers],[Frais directement liés à l''activité - Logistique]])</f>
        <v>0</v>
      </c>
      <c r="AE43" s="53">
        <f>SUMIFS(Fonctionnement[Montant],Fonctionnement[Allocation],Overhead616[[#This Row],[Fonction]],Fonctionnement[Frais généraux],Overhead616[[#Headers],[Frais indirectement liés à l''activité - Prévues par la loi ]])</f>
        <v>0</v>
      </c>
      <c r="AF43" s="53">
        <f>SUMIFS(Fonctionnement[Montant],Fonctionnement[Allocation],Overhead616[[#This Row],[Fonction]],Fonctionnement[Frais généraux],Overhead616[[#Headers],[Frais indirectement liés à l''activité - Autres fonctions - Administration / Logistique]])</f>
        <v>0</v>
      </c>
      <c r="AG43" s="53">
        <f>SUMIFS(Fonctionnement[Montant],Fonctionnement[Allocation],Overhead616[[#This Row],[Fonction]],Fonctionnement[Frais généraux],Overhead616[[#Headers],[Frais indirectement liés à l''activité - Autres fonctions - Chargé(e) de direction]])</f>
        <v>0</v>
      </c>
      <c r="AH43" s="54">
        <f>SUMIFS(Fonctionnement[Montant],Fonctionnement[Allocation],Overhead616[[#This Row],[Fonction]],Fonctionnement[Frais généraux],Overhead616[[#Headers],[Frais indirectement liés à l''activité - Autres fonctions - Direction générale]])</f>
        <v>0</v>
      </c>
    </row>
    <row r="44" spans="7:34" x14ac:dyDescent="0.25">
      <c r="I44" t="s">
        <v>268</v>
      </c>
      <c r="AA44" s="574"/>
      <c r="AB44" s="58" t="s">
        <v>115</v>
      </c>
      <c r="AC44" s="53">
        <f>SUMIFS(Fonctionnement[Montant],Fonctionnement[Allocation],Overhead616[[#This Row],[Fonction]],Fonctionnement[Frais généraux],Overhead616[[#Headers],[Frais directement liés à l''activité - Encadrement]])</f>
        <v>0</v>
      </c>
      <c r="AD44" s="53">
        <f>SUMIFS(Fonctionnement[Montant],Fonctionnement[Allocation],Overhead616[[#This Row],[Fonction]],Fonctionnement[Frais généraux],Overhead616[[#Headers],[Frais directement liés à l''activité - Logistique]])</f>
        <v>0</v>
      </c>
      <c r="AE44" s="53">
        <f>SUMIFS(Fonctionnement[Montant],Fonctionnement[Allocation],Overhead616[[#This Row],[Fonction]],Fonctionnement[Frais généraux],Overhead616[[#Headers],[Frais indirectement liés à l''activité - Prévues par la loi ]])</f>
        <v>0</v>
      </c>
      <c r="AF44" s="53">
        <f>SUMIFS(Fonctionnement[Montant],Fonctionnement[Allocation],Overhead616[[#This Row],[Fonction]],Fonctionnement[Frais généraux],Overhead616[[#Headers],[Frais indirectement liés à l''activité - Autres fonctions - Administration / Logistique]])</f>
        <v>0</v>
      </c>
      <c r="AG44" s="53">
        <f>SUMIFS(Fonctionnement[Montant],Fonctionnement[Allocation],Overhead616[[#This Row],[Fonction]],Fonctionnement[Frais généraux],Overhead616[[#Headers],[Frais indirectement liés à l''activité - Autres fonctions - Chargé(e) de direction]])</f>
        <v>0</v>
      </c>
      <c r="AH44" s="54">
        <f>SUMIFS(Fonctionnement[Montant],Fonctionnement[Allocation],Overhead616[[#This Row],[Fonction]],Fonctionnement[Frais généraux],Overhead616[[#Headers],[Frais indirectement liés à l''activité - Autres fonctions - Direction générale]])</f>
        <v>0</v>
      </c>
    </row>
    <row r="45" spans="7:34" ht="15.75" thickBot="1" x14ac:dyDescent="0.3">
      <c r="I45" t="s">
        <v>269</v>
      </c>
      <c r="AA45" s="575"/>
      <c r="AB45" s="63" t="s">
        <v>116</v>
      </c>
      <c r="AC45" s="55">
        <f>SUMIFS(Fonctionnement[Montant],Fonctionnement[Allocation],Overhead616[[#This Row],[Fonction]],Fonctionnement[Frais généraux],Overhead616[[#Headers],[Frais directement liés à l''activité - Encadrement]])</f>
        <v>0</v>
      </c>
      <c r="AD45" s="55">
        <f>SUMIFS(Fonctionnement[Montant],Fonctionnement[Allocation],Overhead616[[#This Row],[Fonction]],Fonctionnement[Frais généraux],Overhead616[[#Headers],[Frais directement liés à l''activité - Logistique]])</f>
        <v>0</v>
      </c>
      <c r="AE45" s="55">
        <f>SUMIFS(Fonctionnement[Montant],Fonctionnement[Allocation],Overhead616[[#This Row],[Fonction]],Fonctionnement[Frais généraux],Overhead616[[#Headers],[Frais indirectement liés à l''activité - Prévues par la loi ]])</f>
        <v>0</v>
      </c>
      <c r="AF45" s="55">
        <f>SUMIFS(Fonctionnement[Montant],Fonctionnement[Allocation],Overhead616[[#This Row],[Fonction]],Fonctionnement[Frais généraux],Overhead616[[#Headers],[Frais indirectement liés à l''activité - Autres fonctions - Administration / Logistique]])</f>
        <v>0</v>
      </c>
      <c r="AG45" s="55">
        <f>SUMIFS(Fonctionnement[Montant],Fonctionnement[Allocation],Overhead616[[#This Row],[Fonction]],Fonctionnement[Frais généraux],Overhead616[[#Headers],[Frais indirectement liés à l''activité - Autres fonctions - Chargé(e) de direction]])</f>
        <v>0</v>
      </c>
      <c r="AH45" s="56">
        <f>SUMIFS(Fonctionnement[Montant],Fonctionnement[Allocation],Overhead616[[#This Row],[Fonction]],Fonctionnement[Frais généraux],Overhead616[[#Headers],[Frais indirectement liés à l''activité - Autres fonctions - Direction générale]])</f>
        <v>0</v>
      </c>
    </row>
    <row r="46" spans="7:34" ht="15" customHeight="1" x14ac:dyDescent="0.25">
      <c r="I46" t="s">
        <v>270</v>
      </c>
      <c r="AA46" s="573" t="s">
        <v>382</v>
      </c>
      <c r="AB46" s="58" t="s">
        <v>99</v>
      </c>
      <c r="AC46" s="53">
        <f>SUMIFS(CCTSAS[Total éligible],CCTSAS[Allocation fonctions],Overhead616[[#This Row],[Fonction]],CCTSAS[Frais généraux],Overhead616[[#Headers],[Frais directement liés à l''activité - Encadrement]])</f>
        <v>0</v>
      </c>
      <c r="AD46" s="53">
        <f>SUMIFS(CCTSAS[Total éligible],CCTSAS[Allocation fonctions],Overhead616[[#This Row],[Fonction]],CCTSAS[Frais généraux],Overhead616[[#Headers],[Frais directement liés à l''activité - Logistique]])</f>
        <v>0</v>
      </c>
      <c r="AE46" s="53">
        <f>SUMIFS(CCTSAS[Total éligible],CCTSAS[Allocation fonctions],Overhead616[[#This Row],[Fonction]],CCTSAS[Frais généraux],Overhead616[[#Headers],[Frais indirectement liés à l''activité - Prévues par la loi ]])</f>
        <v>0</v>
      </c>
      <c r="AF46" s="53">
        <f>SUMIFS(CCTSAS[Total éligible],CCTSAS[Allocation fonctions],Overhead616[[#This Row],[Fonction]],CCTSAS[Frais généraux],Overhead616[[#Headers],[Frais indirectement liés à l''activité - Autres fonctions - Administration / Logistique]])</f>
        <v>0</v>
      </c>
      <c r="AG46" s="53">
        <f>SUMIFS(CCTSAS[Total éligible],CCTSAS[Allocation fonctions],Overhead616[[#This Row],[Fonction]],CCTSAS[Frais généraux],Overhead616[[#Headers],[Frais indirectement liés à l''activité - Autres fonctions - Chargé(e) de direction]])</f>
        <v>0</v>
      </c>
      <c r="AH46" s="54">
        <f>SUMIFS(CCTSAS[Total éligible],CCTSAS[Allocation fonctions],Overhead616[[#This Row],[Fonction]],CCTSAS[Frais généraux],Overhead616[[#Headers],[Frais indirectement liés à l''activité - Autres fonctions - Direction générale]])</f>
        <v>0</v>
      </c>
    </row>
    <row r="47" spans="7:34" x14ac:dyDescent="0.25">
      <c r="I47" t="s">
        <v>271</v>
      </c>
      <c r="AA47" s="574"/>
      <c r="AB47" s="58" t="s">
        <v>100</v>
      </c>
      <c r="AC47" s="53">
        <f>SUMIFS(CCTSAS[Total éligible],CCTSAS[Allocation fonctions],Overhead616[[#This Row],[Fonction]],CCTSAS[Frais généraux],Overhead616[[#Headers],[Frais directement liés à l''activité - Encadrement]])</f>
        <v>0</v>
      </c>
      <c r="AD47" s="53">
        <f>SUMIFS(CCTSAS[Total éligible],CCTSAS[Allocation fonctions],Overhead616[[#This Row],[Fonction]],CCTSAS[Frais généraux],Overhead616[[#Headers],[Frais directement liés à l''activité - Logistique]])</f>
        <v>0</v>
      </c>
      <c r="AE47" s="53">
        <f>SUMIFS(CCTSAS[Total éligible],CCTSAS[Allocation fonctions],Overhead616[[#This Row],[Fonction]],CCTSAS[Frais généraux],Overhead616[[#Headers],[Frais indirectement liés à l''activité - Prévues par la loi ]])</f>
        <v>0</v>
      </c>
      <c r="AF47" s="53">
        <f>SUMIFS(CCTSAS[Total éligible],CCTSAS[Allocation fonctions],Overhead616[[#This Row],[Fonction]],CCTSAS[Frais généraux],Overhead616[[#Headers],[Frais indirectement liés à l''activité - Autres fonctions - Administration / Logistique]])</f>
        <v>0</v>
      </c>
      <c r="AG47" s="53">
        <f>SUMIFS(CCTSAS[Total éligible],CCTSAS[Allocation fonctions],Overhead616[[#This Row],[Fonction]],CCTSAS[Frais généraux],Overhead616[[#Headers],[Frais indirectement liés à l''activité - Autres fonctions - Chargé(e) de direction]])</f>
        <v>0</v>
      </c>
      <c r="AH47" s="54">
        <f>SUMIFS(CCTSAS[Total éligible],CCTSAS[Allocation fonctions],Overhead616[[#This Row],[Fonction]],CCTSAS[Frais généraux],Overhead616[[#Headers],[Frais indirectement liés à l''activité - Autres fonctions - Direction générale]])</f>
        <v>0</v>
      </c>
    </row>
    <row r="48" spans="7:34" x14ac:dyDescent="0.25">
      <c r="I48" t="s">
        <v>272</v>
      </c>
      <c r="AA48" s="574"/>
      <c r="AB48" s="58" t="s">
        <v>101</v>
      </c>
      <c r="AC48" s="53">
        <f>SUMIFS(CCTSAS[Total éligible],CCTSAS[Allocation fonctions],Overhead616[[#This Row],[Fonction]],CCTSAS[Frais généraux],Overhead616[[#Headers],[Frais directement liés à l''activité - Encadrement]])</f>
        <v>0</v>
      </c>
      <c r="AD48" s="53">
        <f>SUMIFS(CCTSAS[Total éligible],CCTSAS[Allocation fonctions],Overhead616[[#This Row],[Fonction]],CCTSAS[Frais généraux],Overhead616[[#Headers],[Frais directement liés à l''activité - Logistique]])</f>
        <v>0</v>
      </c>
      <c r="AE48" s="53">
        <f>SUMIFS(CCTSAS[Total éligible],CCTSAS[Allocation fonctions],Overhead616[[#This Row],[Fonction]],CCTSAS[Frais généraux],Overhead616[[#Headers],[Frais indirectement liés à l''activité - Prévues par la loi ]])</f>
        <v>0</v>
      </c>
      <c r="AF48" s="53">
        <f>SUMIFS(CCTSAS[Total éligible],CCTSAS[Allocation fonctions],Overhead616[[#This Row],[Fonction]],CCTSAS[Frais généraux],Overhead616[[#Headers],[Frais indirectement liés à l''activité - Autres fonctions - Administration / Logistique]])</f>
        <v>0</v>
      </c>
      <c r="AG48" s="53">
        <f>SUMIFS(CCTSAS[Total éligible],CCTSAS[Allocation fonctions],Overhead616[[#This Row],[Fonction]],CCTSAS[Frais généraux],Overhead616[[#Headers],[Frais indirectement liés à l''activité - Autres fonctions - Chargé(e) de direction]])</f>
        <v>0</v>
      </c>
      <c r="AH48" s="54">
        <f>SUMIFS(CCTSAS[Total éligible],CCTSAS[Allocation fonctions],Overhead616[[#This Row],[Fonction]],CCTSAS[Frais généraux],Overhead616[[#Headers],[Frais indirectement liés à l''activité - Autres fonctions - Direction générale]])</f>
        <v>0</v>
      </c>
    </row>
    <row r="49" spans="9:34" x14ac:dyDescent="0.25">
      <c r="I49" t="s">
        <v>273</v>
      </c>
      <c r="AA49" s="574"/>
      <c r="AB49" s="58" t="s">
        <v>102</v>
      </c>
      <c r="AC49" s="53">
        <f>SUMIFS(CCTSAS[Total éligible],CCTSAS[Allocation fonctions],Overhead616[[#This Row],[Fonction]],CCTSAS[Frais généraux],Overhead616[[#Headers],[Frais directement liés à l''activité - Encadrement]])</f>
        <v>0</v>
      </c>
      <c r="AD49" s="53">
        <f>SUMIFS(CCTSAS[Total éligible],CCTSAS[Allocation fonctions],Overhead616[[#This Row],[Fonction]],CCTSAS[Frais généraux],Overhead616[[#Headers],[Frais directement liés à l''activité - Logistique]])</f>
        <v>0</v>
      </c>
      <c r="AE49" s="53">
        <f>SUMIFS(CCTSAS[Total éligible],CCTSAS[Allocation fonctions],Overhead616[[#This Row],[Fonction]],CCTSAS[Frais généraux],Overhead616[[#Headers],[Frais indirectement liés à l''activité - Prévues par la loi ]])</f>
        <v>0</v>
      </c>
      <c r="AF49" s="53">
        <f>SUMIFS(CCTSAS[Total éligible],CCTSAS[Allocation fonctions],Overhead616[[#This Row],[Fonction]],CCTSAS[Frais généraux],Overhead616[[#Headers],[Frais indirectement liés à l''activité - Autres fonctions - Administration / Logistique]])</f>
        <v>0</v>
      </c>
      <c r="AG49" s="53">
        <f>SUMIFS(CCTSAS[Total éligible],CCTSAS[Allocation fonctions],Overhead616[[#This Row],[Fonction]],CCTSAS[Frais généraux],Overhead616[[#Headers],[Frais indirectement liés à l''activité - Autres fonctions - Chargé(e) de direction]])</f>
        <v>0</v>
      </c>
      <c r="AH49" s="54">
        <f>SUMIFS(CCTSAS[Total éligible],CCTSAS[Allocation fonctions],Overhead616[[#This Row],[Fonction]],CCTSAS[Frais généraux],Overhead616[[#Headers],[Frais indirectement liés à l''activité - Autres fonctions - Direction générale]])</f>
        <v>0</v>
      </c>
    </row>
    <row r="50" spans="9:34" x14ac:dyDescent="0.25">
      <c r="I50" t="s">
        <v>274</v>
      </c>
      <c r="AA50" s="574"/>
      <c r="AB50" s="58" t="s">
        <v>103</v>
      </c>
      <c r="AC50" s="53">
        <f>SUMIFS(CCTSAS[Total éligible],CCTSAS[Allocation fonctions],Overhead616[[#This Row],[Fonction]],CCTSAS[Frais généraux],Overhead616[[#Headers],[Frais directement liés à l''activité - Encadrement]])</f>
        <v>0</v>
      </c>
      <c r="AD50" s="53">
        <f>SUMIFS(CCTSAS[Total éligible],CCTSAS[Allocation fonctions],Overhead616[[#This Row],[Fonction]],CCTSAS[Frais généraux],Overhead616[[#Headers],[Frais directement liés à l''activité - Logistique]])</f>
        <v>0</v>
      </c>
      <c r="AE50" s="53">
        <f>SUMIFS(CCTSAS[Total éligible],CCTSAS[Allocation fonctions],Overhead616[[#This Row],[Fonction]],CCTSAS[Frais généraux],Overhead616[[#Headers],[Frais indirectement liés à l''activité - Prévues par la loi ]])</f>
        <v>0</v>
      </c>
      <c r="AF50" s="53">
        <f>SUMIFS(CCTSAS[Total éligible],CCTSAS[Allocation fonctions],Overhead616[[#This Row],[Fonction]],CCTSAS[Frais généraux],Overhead616[[#Headers],[Frais indirectement liés à l''activité - Autres fonctions - Administration / Logistique]])</f>
        <v>0</v>
      </c>
      <c r="AG50" s="53">
        <f>SUMIFS(CCTSAS[Total éligible],CCTSAS[Allocation fonctions],Overhead616[[#This Row],[Fonction]],CCTSAS[Frais généraux],Overhead616[[#Headers],[Frais indirectement liés à l''activité - Autres fonctions - Chargé(e) de direction]])</f>
        <v>0</v>
      </c>
      <c r="AH50" s="54">
        <f>SUMIFS(CCTSAS[Total éligible],CCTSAS[Allocation fonctions],Overhead616[[#This Row],[Fonction]],CCTSAS[Frais généraux],Overhead616[[#Headers],[Frais indirectement liés à l''activité - Autres fonctions - Direction générale]])</f>
        <v>0</v>
      </c>
    </row>
    <row r="51" spans="9:34" x14ac:dyDescent="0.25">
      <c r="I51" t="s">
        <v>275</v>
      </c>
      <c r="AA51" s="574"/>
      <c r="AB51" s="58" t="s">
        <v>117</v>
      </c>
      <c r="AC51" s="53">
        <f>SUMIFS(CCTSAS[Total éligible],CCTSAS[Allocation fonctions],Overhead616[[#This Row],[Fonction]],CCTSAS[Frais généraux],Overhead616[[#Headers],[Frais directement liés à l''activité - Encadrement]])</f>
        <v>0</v>
      </c>
      <c r="AD51" s="53">
        <f>SUMIFS(CCTSAS[Total éligible],CCTSAS[Allocation fonctions],Overhead616[[#This Row],[Fonction]],CCTSAS[Frais généraux],Overhead616[[#Headers],[Frais directement liés à l''activité - Logistique]])</f>
        <v>0</v>
      </c>
      <c r="AE51" s="53">
        <f>SUMIFS(CCTSAS[Total éligible],CCTSAS[Allocation fonctions],Overhead616[[#This Row],[Fonction]],CCTSAS[Frais généraux],Overhead616[[#Headers],[Frais indirectement liés à l''activité - Prévues par la loi ]])</f>
        <v>0</v>
      </c>
      <c r="AF51" s="53">
        <f>SUMIFS(CCTSAS[Total éligible],CCTSAS[Allocation fonctions],Overhead616[[#This Row],[Fonction]],CCTSAS[Frais généraux],Overhead616[[#Headers],[Frais indirectement liés à l''activité - Autres fonctions - Administration / Logistique]])</f>
        <v>0</v>
      </c>
      <c r="AG51" s="53">
        <f>SUMIFS(CCTSAS[Total éligible],CCTSAS[Allocation fonctions],Overhead616[[#This Row],[Fonction]],CCTSAS[Frais généraux],Overhead616[[#Headers],[Frais indirectement liés à l''activité - Autres fonctions - Chargé(e) de direction]])</f>
        <v>0</v>
      </c>
      <c r="AH51" s="54">
        <f>SUMIFS(CCTSAS[Total éligible],CCTSAS[Allocation fonctions],Overhead616[[#This Row],[Fonction]],CCTSAS[Frais généraux],Overhead616[[#Headers],[Frais indirectement liés à l''activité - Autres fonctions - Direction générale]])</f>
        <v>0</v>
      </c>
    </row>
    <row r="52" spans="9:34" x14ac:dyDescent="0.25">
      <c r="I52" t="s">
        <v>276</v>
      </c>
      <c r="AA52" s="574"/>
      <c r="AB52" s="58" t="s">
        <v>104</v>
      </c>
      <c r="AC52" s="53">
        <f>SUMIFS(CCTSAS[Total éligible],CCTSAS[Allocation fonctions],Overhead616[[#This Row],[Fonction]],CCTSAS[Frais généraux],Overhead616[[#Headers],[Frais directement liés à l''activité - Encadrement]])</f>
        <v>0</v>
      </c>
      <c r="AD52" s="53">
        <f>SUMIFS(CCTSAS[Total éligible],CCTSAS[Allocation fonctions],Overhead616[[#This Row],[Fonction]],CCTSAS[Frais généraux],Overhead616[[#Headers],[Frais directement liés à l''activité - Logistique]])</f>
        <v>0</v>
      </c>
      <c r="AE52" s="53">
        <f>SUMIFS(CCTSAS[Total éligible],CCTSAS[Allocation fonctions],Overhead616[[#This Row],[Fonction]],CCTSAS[Frais généraux],Overhead616[[#Headers],[Frais indirectement liés à l''activité - Prévues par la loi ]])</f>
        <v>0</v>
      </c>
      <c r="AF52" s="53">
        <f>SUMIFS(CCTSAS[Total éligible],CCTSAS[Allocation fonctions],Overhead616[[#This Row],[Fonction]],CCTSAS[Frais généraux],Overhead616[[#Headers],[Frais indirectement liés à l''activité - Autres fonctions - Administration / Logistique]])</f>
        <v>0</v>
      </c>
      <c r="AG52" s="53">
        <f>SUMIFS(CCTSAS[Total éligible],CCTSAS[Allocation fonctions],Overhead616[[#This Row],[Fonction]],CCTSAS[Frais généraux],Overhead616[[#Headers],[Frais indirectement liés à l''activité - Autres fonctions - Chargé(e) de direction]])</f>
        <v>0</v>
      </c>
      <c r="AH52" s="54">
        <f>SUMIFS(CCTSAS[Total éligible],CCTSAS[Allocation fonctions],Overhead616[[#This Row],[Fonction]],CCTSAS[Frais généraux],Overhead616[[#Headers],[Frais indirectement liés à l''activité - Autres fonctions - Direction générale]])</f>
        <v>0</v>
      </c>
    </row>
    <row r="53" spans="9:34" x14ac:dyDescent="0.25">
      <c r="I53" t="s">
        <v>277</v>
      </c>
      <c r="AA53" s="574"/>
      <c r="AB53" s="58" t="s">
        <v>105</v>
      </c>
      <c r="AC53" s="53">
        <f>SUMIFS(CCTSAS[Total éligible],CCTSAS[Allocation fonctions],Overhead616[[#This Row],[Fonction]],CCTSAS[Frais généraux],Overhead616[[#Headers],[Frais directement liés à l''activité - Encadrement]])</f>
        <v>0</v>
      </c>
      <c r="AD53" s="53">
        <f>SUMIFS(CCTSAS[Total éligible],CCTSAS[Allocation fonctions],Overhead616[[#This Row],[Fonction]],CCTSAS[Frais généraux],Overhead616[[#Headers],[Frais directement liés à l''activité - Logistique]])</f>
        <v>0</v>
      </c>
      <c r="AE53" s="53">
        <f>SUMIFS(CCTSAS[Total éligible],CCTSAS[Allocation fonctions],Overhead616[[#This Row],[Fonction]],CCTSAS[Frais généraux],Overhead616[[#Headers],[Frais indirectement liés à l''activité - Prévues par la loi ]])</f>
        <v>0</v>
      </c>
      <c r="AF53" s="53">
        <f>SUMIFS(CCTSAS[Total éligible],CCTSAS[Allocation fonctions],Overhead616[[#This Row],[Fonction]],CCTSAS[Frais généraux],Overhead616[[#Headers],[Frais indirectement liés à l''activité - Autres fonctions - Administration / Logistique]])</f>
        <v>0</v>
      </c>
      <c r="AG53" s="53">
        <f>SUMIFS(CCTSAS[Total éligible],CCTSAS[Allocation fonctions],Overhead616[[#This Row],[Fonction]],CCTSAS[Frais généraux],Overhead616[[#Headers],[Frais indirectement liés à l''activité - Autres fonctions - Chargé(e) de direction]])</f>
        <v>0</v>
      </c>
      <c r="AH53" s="54">
        <f>SUMIFS(CCTSAS[Total éligible],CCTSAS[Allocation fonctions],Overhead616[[#This Row],[Fonction]],CCTSAS[Frais généraux],Overhead616[[#Headers],[Frais indirectement liés à l''activité - Autres fonctions - Direction générale]])</f>
        <v>0</v>
      </c>
    </row>
    <row r="54" spans="9:34" x14ac:dyDescent="0.25">
      <c r="I54" t="s">
        <v>278</v>
      </c>
      <c r="AA54" s="574"/>
      <c r="AB54" s="58" t="s">
        <v>106</v>
      </c>
      <c r="AC54" s="53">
        <f>SUMIFS(CCTSAS[Total éligible],CCTSAS[Allocation fonctions],Overhead616[[#This Row],[Fonction]],CCTSAS[Frais généraux],Overhead616[[#Headers],[Frais directement liés à l''activité - Encadrement]])</f>
        <v>0</v>
      </c>
      <c r="AD54" s="53">
        <f>SUMIFS(CCTSAS[Total éligible],CCTSAS[Allocation fonctions],Overhead616[[#This Row],[Fonction]],CCTSAS[Frais généraux],Overhead616[[#Headers],[Frais directement liés à l''activité - Logistique]])</f>
        <v>0</v>
      </c>
      <c r="AE54" s="53">
        <f>SUMIFS(CCTSAS[Total éligible],CCTSAS[Allocation fonctions],Overhead616[[#This Row],[Fonction]],CCTSAS[Frais généraux],Overhead616[[#Headers],[Frais indirectement liés à l''activité - Prévues par la loi ]])</f>
        <v>0</v>
      </c>
      <c r="AF54" s="53">
        <f>SUMIFS(CCTSAS[Total éligible],CCTSAS[Allocation fonctions],Overhead616[[#This Row],[Fonction]],CCTSAS[Frais généraux],Overhead616[[#Headers],[Frais indirectement liés à l''activité - Autres fonctions - Administration / Logistique]])</f>
        <v>0</v>
      </c>
      <c r="AG54" s="53">
        <f>SUMIFS(CCTSAS[Total éligible],CCTSAS[Allocation fonctions],Overhead616[[#This Row],[Fonction]],CCTSAS[Frais généraux],Overhead616[[#Headers],[Frais indirectement liés à l''activité - Autres fonctions - Chargé(e) de direction]])</f>
        <v>0</v>
      </c>
      <c r="AH54" s="54">
        <f>SUMIFS(CCTSAS[Total éligible],CCTSAS[Allocation fonctions],Overhead616[[#This Row],[Fonction]],CCTSAS[Frais généraux],Overhead616[[#Headers],[Frais indirectement liés à l''activité - Autres fonctions - Direction générale]])</f>
        <v>0</v>
      </c>
    </row>
    <row r="55" spans="9:34" x14ac:dyDescent="0.25">
      <c r="I55" t="s">
        <v>279</v>
      </c>
      <c r="AA55" s="574"/>
      <c r="AB55" s="58" t="s">
        <v>107</v>
      </c>
      <c r="AC55" s="53">
        <f>SUMIFS(CCTSAS[Total éligible],CCTSAS[Allocation fonctions],Overhead616[[#This Row],[Fonction]],CCTSAS[Frais généraux],Overhead616[[#Headers],[Frais directement liés à l''activité - Encadrement]])</f>
        <v>0</v>
      </c>
      <c r="AD55" s="53">
        <f>SUMIFS(CCTSAS[Total éligible],CCTSAS[Allocation fonctions],Overhead616[[#This Row],[Fonction]],CCTSAS[Frais généraux],Overhead616[[#Headers],[Frais directement liés à l''activité - Logistique]])</f>
        <v>0</v>
      </c>
      <c r="AE55" s="53">
        <f>SUMIFS(CCTSAS[Total éligible],CCTSAS[Allocation fonctions],Overhead616[[#This Row],[Fonction]],CCTSAS[Frais généraux],Overhead616[[#Headers],[Frais indirectement liés à l''activité - Prévues par la loi ]])</f>
        <v>0</v>
      </c>
      <c r="AF55" s="53">
        <f>SUMIFS(CCTSAS[Total éligible],CCTSAS[Allocation fonctions],Overhead616[[#This Row],[Fonction]],CCTSAS[Frais généraux],Overhead616[[#Headers],[Frais indirectement liés à l''activité - Autres fonctions - Administration / Logistique]])</f>
        <v>0</v>
      </c>
      <c r="AG55" s="53">
        <f>SUMIFS(CCTSAS[Total éligible],CCTSAS[Allocation fonctions],Overhead616[[#This Row],[Fonction]],CCTSAS[Frais généraux],Overhead616[[#Headers],[Frais indirectement liés à l''activité - Autres fonctions - Chargé(e) de direction]])</f>
        <v>0</v>
      </c>
      <c r="AH55" s="54">
        <f>SUMIFS(CCTSAS[Total éligible],CCTSAS[Allocation fonctions],Overhead616[[#This Row],[Fonction]],CCTSAS[Frais généraux],Overhead616[[#Headers],[Frais indirectement liés à l''activité - Autres fonctions - Direction générale]])</f>
        <v>0</v>
      </c>
    </row>
    <row r="56" spans="9:34" x14ac:dyDescent="0.25">
      <c r="I56" t="s">
        <v>280</v>
      </c>
      <c r="AA56" s="574"/>
      <c r="AB56" s="58" t="s">
        <v>108</v>
      </c>
      <c r="AC56" s="53">
        <f>SUMIFS(CCTSAS[Total éligible],CCTSAS[Allocation fonctions],Overhead616[[#This Row],[Fonction]],CCTSAS[Frais généraux],Overhead616[[#Headers],[Frais directement liés à l''activité - Encadrement]])</f>
        <v>0</v>
      </c>
      <c r="AD56" s="53">
        <f>SUMIFS(CCTSAS[Total éligible],CCTSAS[Allocation fonctions],Overhead616[[#This Row],[Fonction]],CCTSAS[Frais généraux],Overhead616[[#Headers],[Frais directement liés à l''activité - Logistique]])</f>
        <v>0</v>
      </c>
      <c r="AE56" s="53">
        <f>SUMIFS(CCTSAS[Total éligible],CCTSAS[Allocation fonctions],Overhead616[[#This Row],[Fonction]],CCTSAS[Frais généraux],Overhead616[[#Headers],[Frais indirectement liés à l''activité - Prévues par la loi ]])</f>
        <v>0</v>
      </c>
      <c r="AF56" s="53">
        <f>SUMIFS(CCTSAS[Total éligible],CCTSAS[Allocation fonctions],Overhead616[[#This Row],[Fonction]],CCTSAS[Frais généraux],Overhead616[[#Headers],[Frais indirectement liés à l''activité - Autres fonctions - Administration / Logistique]])</f>
        <v>0</v>
      </c>
      <c r="AG56" s="53">
        <f>SUMIFS(CCTSAS[Total éligible],CCTSAS[Allocation fonctions],Overhead616[[#This Row],[Fonction]],CCTSAS[Frais généraux],Overhead616[[#Headers],[Frais indirectement liés à l''activité - Autres fonctions - Chargé(e) de direction]])</f>
        <v>0</v>
      </c>
      <c r="AH56" s="54">
        <f>SUMIFS(CCTSAS[Total éligible],CCTSAS[Allocation fonctions],Overhead616[[#This Row],[Fonction]],CCTSAS[Frais généraux],Overhead616[[#Headers],[Frais indirectement liés à l''activité - Autres fonctions - Direction générale]])</f>
        <v>0</v>
      </c>
    </row>
    <row r="57" spans="9:34" x14ac:dyDescent="0.25">
      <c r="I57" t="s">
        <v>281</v>
      </c>
      <c r="AA57" s="574"/>
      <c r="AB57" s="58" t="s">
        <v>109</v>
      </c>
      <c r="AC57" s="53">
        <f>SUMIFS(CCTSAS[Total éligible],CCTSAS[Allocation fonctions],Overhead616[[#This Row],[Fonction]],CCTSAS[Frais généraux],Overhead616[[#Headers],[Frais directement liés à l''activité - Encadrement]])</f>
        <v>0</v>
      </c>
      <c r="AD57" s="53">
        <f>SUMIFS(CCTSAS[Total éligible],CCTSAS[Allocation fonctions],Overhead616[[#This Row],[Fonction]],CCTSAS[Frais généraux],Overhead616[[#Headers],[Frais directement liés à l''activité - Logistique]])</f>
        <v>0</v>
      </c>
      <c r="AE57" s="53">
        <f>SUMIFS(CCTSAS[Total éligible],CCTSAS[Allocation fonctions],Overhead616[[#This Row],[Fonction]],CCTSAS[Frais généraux],Overhead616[[#Headers],[Frais indirectement liés à l''activité - Prévues par la loi ]])</f>
        <v>0</v>
      </c>
      <c r="AF57" s="53">
        <f>SUMIFS(CCTSAS[Total éligible],CCTSAS[Allocation fonctions],Overhead616[[#This Row],[Fonction]],CCTSAS[Frais généraux],Overhead616[[#Headers],[Frais indirectement liés à l''activité - Autres fonctions - Administration / Logistique]])</f>
        <v>0</v>
      </c>
      <c r="AG57" s="53">
        <f>SUMIFS(CCTSAS[Total éligible],CCTSAS[Allocation fonctions],Overhead616[[#This Row],[Fonction]],CCTSAS[Frais généraux],Overhead616[[#Headers],[Frais indirectement liés à l''activité - Autres fonctions - Chargé(e) de direction]])</f>
        <v>0</v>
      </c>
      <c r="AH57" s="54">
        <f>SUMIFS(CCTSAS[Total éligible],CCTSAS[Allocation fonctions],Overhead616[[#This Row],[Fonction]],CCTSAS[Frais généraux],Overhead616[[#Headers],[Frais indirectement liés à l''activité - Autres fonctions - Direction générale]])</f>
        <v>0</v>
      </c>
    </row>
    <row r="58" spans="9:34" x14ac:dyDescent="0.25">
      <c r="I58" t="s">
        <v>282</v>
      </c>
      <c r="AA58" s="574"/>
      <c r="AB58" s="58" t="s">
        <v>110</v>
      </c>
      <c r="AC58" s="53">
        <f>SUMIFS(CCTSAS[Total éligible],CCTSAS[Allocation fonctions],Overhead616[[#This Row],[Fonction]],CCTSAS[Frais généraux],Overhead616[[#Headers],[Frais directement liés à l''activité - Encadrement]])</f>
        <v>0</v>
      </c>
      <c r="AD58" s="53">
        <f>SUMIFS(CCTSAS[Total éligible],CCTSAS[Allocation fonctions],Overhead616[[#This Row],[Fonction]],CCTSAS[Frais généraux],Overhead616[[#Headers],[Frais directement liés à l''activité - Logistique]])</f>
        <v>0</v>
      </c>
      <c r="AE58" s="53">
        <f>SUMIFS(CCTSAS[Total éligible],CCTSAS[Allocation fonctions],Overhead616[[#This Row],[Fonction]],CCTSAS[Frais généraux],Overhead616[[#Headers],[Frais indirectement liés à l''activité - Prévues par la loi ]])</f>
        <v>0</v>
      </c>
      <c r="AF58" s="53">
        <f>SUMIFS(CCTSAS[Total éligible],CCTSAS[Allocation fonctions],Overhead616[[#This Row],[Fonction]],CCTSAS[Frais généraux],Overhead616[[#Headers],[Frais indirectement liés à l''activité - Autres fonctions - Administration / Logistique]])</f>
        <v>0</v>
      </c>
      <c r="AG58" s="53">
        <f>SUMIFS(CCTSAS[Total éligible],CCTSAS[Allocation fonctions],Overhead616[[#This Row],[Fonction]],CCTSAS[Frais généraux],Overhead616[[#Headers],[Frais indirectement liés à l''activité - Autres fonctions - Chargé(e) de direction]])</f>
        <v>0</v>
      </c>
      <c r="AH58" s="54">
        <f>SUMIFS(CCTSAS[Total éligible],CCTSAS[Allocation fonctions],Overhead616[[#This Row],[Fonction]],CCTSAS[Frais généraux],Overhead616[[#Headers],[Frais indirectement liés à l''activité - Autres fonctions - Direction générale]])</f>
        <v>0</v>
      </c>
    </row>
    <row r="59" spans="9:34" x14ac:dyDescent="0.25">
      <c r="I59" t="s">
        <v>283</v>
      </c>
      <c r="AA59" s="574"/>
      <c r="AB59" s="58" t="s">
        <v>111</v>
      </c>
      <c r="AC59" s="53">
        <f>SUMIFS(CCTSAS[Total éligible],CCTSAS[Allocation fonctions],Overhead616[[#This Row],[Fonction]],CCTSAS[Frais généraux],Overhead616[[#Headers],[Frais directement liés à l''activité - Encadrement]])</f>
        <v>0</v>
      </c>
      <c r="AD59" s="53">
        <f>SUMIFS(CCTSAS[Total éligible],CCTSAS[Allocation fonctions],Overhead616[[#This Row],[Fonction]],CCTSAS[Frais généraux],Overhead616[[#Headers],[Frais directement liés à l''activité - Logistique]])</f>
        <v>0</v>
      </c>
      <c r="AE59" s="53">
        <f>SUMIFS(CCTSAS[Total éligible],CCTSAS[Allocation fonctions],Overhead616[[#This Row],[Fonction]],CCTSAS[Frais généraux],Overhead616[[#Headers],[Frais indirectement liés à l''activité - Prévues par la loi ]])</f>
        <v>0</v>
      </c>
      <c r="AF59" s="53">
        <f>SUMIFS(CCTSAS[Total éligible],CCTSAS[Allocation fonctions],Overhead616[[#This Row],[Fonction]],CCTSAS[Frais généraux],Overhead616[[#Headers],[Frais indirectement liés à l''activité - Autres fonctions - Administration / Logistique]])</f>
        <v>0</v>
      </c>
      <c r="AG59" s="53">
        <f>SUMIFS(CCTSAS[Total éligible],CCTSAS[Allocation fonctions],Overhead616[[#This Row],[Fonction]],CCTSAS[Frais généraux],Overhead616[[#Headers],[Frais indirectement liés à l''activité - Autres fonctions - Chargé(e) de direction]])</f>
        <v>0</v>
      </c>
      <c r="AH59" s="54">
        <f>SUMIFS(CCTSAS[Total éligible],CCTSAS[Allocation fonctions],Overhead616[[#This Row],[Fonction]],CCTSAS[Frais généraux],Overhead616[[#Headers],[Frais indirectement liés à l''activité - Autres fonctions - Direction générale]])</f>
        <v>0</v>
      </c>
    </row>
    <row r="60" spans="9:34" x14ac:dyDescent="0.25">
      <c r="I60" t="s">
        <v>284</v>
      </c>
      <c r="AA60" s="574"/>
      <c r="AB60" s="58" t="s">
        <v>112</v>
      </c>
      <c r="AC60" s="53">
        <f>SUMIFS(CCTSAS[Total éligible],CCTSAS[Allocation fonctions],Overhead616[[#This Row],[Fonction]],CCTSAS[Frais généraux],Overhead616[[#Headers],[Frais directement liés à l''activité - Encadrement]])</f>
        <v>0</v>
      </c>
      <c r="AD60" s="53">
        <f>SUMIFS(CCTSAS[Total éligible],CCTSAS[Allocation fonctions],Overhead616[[#This Row],[Fonction]],CCTSAS[Frais généraux],Overhead616[[#Headers],[Frais directement liés à l''activité - Logistique]])</f>
        <v>0</v>
      </c>
      <c r="AE60" s="53">
        <f>SUMIFS(CCTSAS[Total éligible],CCTSAS[Allocation fonctions],Overhead616[[#This Row],[Fonction]],CCTSAS[Frais généraux],Overhead616[[#Headers],[Frais indirectement liés à l''activité - Prévues par la loi ]])</f>
        <v>0</v>
      </c>
      <c r="AF60" s="53">
        <f>SUMIFS(CCTSAS[Total éligible],CCTSAS[Allocation fonctions],Overhead616[[#This Row],[Fonction]],CCTSAS[Frais généraux],Overhead616[[#Headers],[Frais indirectement liés à l''activité - Autres fonctions - Administration / Logistique]])</f>
        <v>0</v>
      </c>
      <c r="AG60" s="53">
        <f>SUMIFS(CCTSAS[Total éligible],CCTSAS[Allocation fonctions],Overhead616[[#This Row],[Fonction]],CCTSAS[Frais généraux],Overhead616[[#Headers],[Frais indirectement liés à l''activité - Autres fonctions - Chargé(e) de direction]])</f>
        <v>0</v>
      </c>
      <c r="AH60" s="54">
        <f>SUMIFS(CCTSAS[Total éligible],CCTSAS[Allocation fonctions],Overhead616[[#This Row],[Fonction]],CCTSAS[Frais généraux],Overhead616[[#Headers],[Frais indirectement liés à l''activité - Autres fonctions - Direction générale]])</f>
        <v>0</v>
      </c>
    </row>
    <row r="61" spans="9:34" x14ac:dyDescent="0.25">
      <c r="I61" t="s">
        <v>285</v>
      </c>
      <c r="AA61" s="574"/>
      <c r="AB61" s="58" t="s">
        <v>113</v>
      </c>
      <c r="AC61" s="53">
        <f>SUMIFS(CCTSAS[Total éligible],CCTSAS[Allocation fonctions],Overhead616[[#This Row],[Fonction]],CCTSAS[Frais généraux],Overhead616[[#Headers],[Frais directement liés à l''activité - Encadrement]])</f>
        <v>0</v>
      </c>
      <c r="AD61" s="53">
        <f>SUMIFS(CCTSAS[Total éligible],CCTSAS[Allocation fonctions],Overhead616[[#This Row],[Fonction]],CCTSAS[Frais généraux],Overhead616[[#Headers],[Frais directement liés à l''activité - Logistique]])</f>
        <v>0</v>
      </c>
      <c r="AE61" s="53">
        <f>SUMIFS(CCTSAS[Total éligible],CCTSAS[Allocation fonctions],Overhead616[[#This Row],[Fonction]],CCTSAS[Frais généraux],Overhead616[[#Headers],[Frais indirectement liés à l''activité - Prévues par la loi ]])</f>
        <v>0</v>
      </c>
      <c r="AF61" s="53">
        <f>SUMIFS(CCTSAS[Total éligible],CCTSAS[Allocation fonctions],Overhead616[[#This Row],[Fonction]],CCTSAS[Frais généraux],Overhead616[[#Headers],[Frais indirectement liés à l''activité - Autres fonctions - Administration / Logistique]])</f>
        <v>0</v>
      </c>
      <c r="AG61" s="53">
        <f>SUMIFS(CCTSAS[Total éligible],CCTSAS[Allocation fonctions],Overhead616[[#This Row],[Fonction]],CCTSAS[Frais généraux],Overhead616[[#Headers],[Frais indirectement liés à l''activité - Autres fonctions - Chargé(e) de direction]])</f>
        <v>0</v>
      </c>
      <c r="AH61" s="54">
        <f>SUMIFS(CCTSAS[Total éligible],CCTSAS[Allocation fonctions],Overhead616[[#This Row],[Fonction]],CCTSAS[Frais généraux],Overhead616[[#Headers],[Frais indirectement liés à l''activité - Autres fonctions - Direction générale]])</f>
        <v>0</v>
      </c>
    </row>
    <row r="62" spans="9:34" x14ac:dyDescent="0.25">
      <c r="I62" t="s">
        <v>286</v>
      </c>
      <c r="AA62" s="574"/>
      <c r="AB62" s="58" t="s">
        <v>114</v>
      </c>
      <c r="AC62" s="53">
        <f>SUMIFS(CCTSAS[Total éligible],CCTSAS[Allocation fonctions],Overhead616[[#This Row],[Fonction]],CCTSAS[Frais généraux],Overhead616[[#Headers],[Frais directement liés à l''activité - Encadrement]])</f>
        <v>0</v>
      </c>
      <c r="AD62" s="53">
        <f>SUMIFS(CCTSAS[Total éligible],CCTSAS[Allocation fonctions],Overhead616[[#This Row],[Fonction]],CCTSAS[Frais généraux],Overhead616[[#Headers],[Frais directement liés à l''activité - Logistique]])</f>
        <v>0</v>
      </c>
      <c r="AE62" s="53">
        <f>SUMIFS(CCTSAS[Total éligible],CCTSAS[Allocation fonctions],Overhead616[[#This Row],[Fonction]],CCTSAS[Frais généraux],Overhead616[[#Headers],[Frais indirectement liés à l''activité - Prévues par la loi ]])</f>
        <v>0</v>
      </c>
      <c r="AF62" s="53">
        <f>SUMIFS(CCTSAS[Total éligible],CCTSAS[Allocation fonctions],Overhead616[[#This Row],[Fonction]],CCTSAS[Frais généraux],Overhead616[[#Headers],[Frais indirectement liés à l''activité - Autres fonctions - Administration / Logistique]])</f>
        <v>0</v>
      </c>
      <c r="AG62" s="53">
        <f>SUMIFS(CCTSAS[Total éligible],CCTSAS[Allocation fonctions],Overhead616[[#This Row],[Fonction]],CCTSAS[Frais généraux],Overhead616[[#Headers],[Frais indirectement liés à l''activité - Autres fonctions - Chargé(e) de direction]])</f>
        <v>0</v>
      </c>
      <c r="AH62" s="54">
        <f>SUMIFS(CCTSAS[Total éligible],CCTSAS[Allocation fonctions],Overhead616[[#This Row],[Fonction]],CCTSAS[Frais généraux],Overhead616[[#Headers],[Frais indirectement liés à l''activité - Autres fonctions - Direction générale]])</f>
        <v>0</v>
      </c>
    </row>
    <row r="63" spans="9:34" x14ac:dyDescent="0.25">
      <c r="I63" t="s">
        <v>287</v>
      </c>
      <c r="AA63" s="574"/>
      <c r="AB63" s="58" t="s">
        <v>115</v>
      </c>
      <c r="AC63" s="53">
        <f>SUMIFS(CCTSAS[Total éligible],CCTSAS[Allocation fonctions],Overhead616[[#This Row],[Fonction]],CCTSAS[Frais généraux],Overhead616[[#Headers],[Frais directement liés à l''activité - Encadrement]])</f>
        <v>0</v>
      </c>
      <c r="AD63" s="53">
        <f>SUMIFS(CCTSAS[Total éligible],CCTSAS[Allocation fonctions],Overhead616[[#This Row],[Fonction]],CCTSAS[Frais généraux],Overhead616[[#Headers],[Frais directement liés à l''activité - Logistique]])</f>
        <v>0</v>
      </c>
      <c r="AE63" s="53">
        <f>SUMIFS(CCTSAS[Total éligible],CCTSAS[Allocation fonctions],Overhead616[[#This Row],[Fonction]],CCTSAS[Frais généraux],Overhead616[[#Headers],[Frais indirectement liés à l''activité - Prévues par la loi ]])</f>
        <v>0</v>
      </c>
      <c r="AF63" s="53">
        <f>SUMIFS(CCTSAS[Total éligible],CCTSAS[Allocation fonctions],Overhead616[[#This Row],[Fonction]],CCTSAS[Frais généraux],Overhead616[[#Headers],[Frais indirectement liés à l''activité - Autres fonctions - Administration / Logistique]])</f>
        <v>0</v>
      </c>
      <c r="AG63" s="53">
        <f>SUMIFS(CCTSAS[Total éligible],CCTSAS[Allocation fonctions],Overhead616[[#This Row],[Fonction]],CCTSAS[Frais généraux],Overhead616[[#Headers],[Frais indirectement liés à l''activité - Autres fonctions - Chargé(e) de direction]])</f>
        <v>0</v>
      </c>
      <c r="AH63" s="54">
        <f>SUMIFS(CCTSAS[Total éligible],CCTSAS[Allocation fonctions],Overhead616[[#This Row],[Fonction]],CCTSAS[Frais généraux],Overhead616[[#Headers],[Frais indirectement liés à l''activité - Autres fonctions - Direction générale]])</f>
        <v>0</v>
      </c>
    </row>
    <row r="64" spans="9:34" ht="15.75" thickBot="1" x14ac:dyDescent="0.3">
      <c r="I64" t="s">
        <v>288</v>
      </c>
      <c r="AA64" s="575"/>
      <c r="AB64" s="58" t="s">
        <v>116</v>
      </c>
      <c r="AC64" s="53">
        <f>SUMIFS(CCTSAS[Total éligible],CCTSAS[Allocation fonctions],Overhead616[[#This Row],[Fonction]],CCTSAS[Frais généraux],Overhead616[[#Headers],[Frais directement liés à l''activité - Encadrement]])</f>
        <v>0</v>
      </c>
      <c r="AD64" s="53">
        <f>SUMIFS(CCTSAS[Total éligible],CCTSAS[Allocation fonctions],Overhead616[[#This Row],[Fonction]],CCTSAS[Frais généraux],Overhead616[[#Headers],[Frais directement liés à l''activité - Logistique]])</f>
        <v>0</v>
      </c>
      <c r="AE64" s="53">
        <f>SUMIFS(CCTSAS[Total éligible],CCTSAS[Allocation fonctions],Overhead616[[#This Row],[Fonction]],CCTSAS[Frais généraux],Overhead616[[#Headers],[Frais indirectement liés à l''activité - Prévues par la loi ]])</f>
        <v>0</v>
      </c>
      <c r="AF64" s="53">
        <f>SUMIFS(CCTSAS[Total éligible],CCTSAS[Allocation fonctions],Overhead616[[#This Row],[Fonction]],CCTSAS[Frais généraux],Overhead616[[#Headers],[Frais indirectement liés à l''activité - Autres fonctions - Administration / Logistique]])</f>
        <v>0</v>
      </c>
      <c r="AG64" s="53">
        <f>SUMIFS(CCTSAS[Total éligible],CCTSAS[Allocation fonctions],Overhead616[[#This Row],[Fonction]],CCTSAS[Frais généraux],Overhead616[[#Headers],[Frais indirectement liés à l''activité - Autres fonctions - Chargé(e) de direction]])</f>
        <v>0</v>
      </c>
      <c r="AH64" s="54">
        <f>SUMIFS(CCTSAS[Total éligible],CCTSAS[Allocation fonctions],Overhead616[[#This Row],[Fonction]],CCTSAS[Frais généraux],Overhead616[[#Headers],[Frais indirectement liés à l''activité - Autres fonctions - Direction générale]])</f>
        <v>0</v>
      </c>
    </row>
    <row r="65" spans="9:34" ht="15" customHeight="1" x14ac:dyDescent="0.25">
      <c r="I65" t="s">
        <v>289</v>
      </c>
      <c r="AA65" s="573" t="s">
        <v>383</v>
      </c>
      <c r="AB65" s="60" t="s">
        <v>99</v>
      </c>
      <c r="AC65" s="61">
        <f>SUMIFS(SalCommune[Total éligible],SalCommune[Allocations fonctions],Overhead616[[#This Row],[Fonction]],SalCommune[Frais généraux],Overhead616[[#Headers],[Frais directement liés à l''activité - Encadrement]])</f>
        <v>0</v>
      </c>
      <c r="AD65" s="61">
        <f>SUMIFS(SalCommune[Total éligible],SalCommune[Allocations fonctions],Overhead616[[#This Row],[Fonction]],SalCommune[Frais généraux],Overhead616[[#Headers],[Frais directement liés à l''activité - Logistique]])</f>
        <v>0</v>
      </c>
      <c r="AE65" s="61">
        <f>SUMIFS(SalCommune[Total éligible],SalCommune[Allocations fonctions],Overhead616[[#This Row],[Fonction]],SalCommune[Frais généraux],Overhead616[[#Headers],[Frais indirectement liés à l''activité - Prévues par la loi ]])</f>
        <v>0</v>
      </c>
      <c r="AF65" s="61">
        <f>SUMIFS(SalCommune[Total éligible],SalCommune[Allocations fonctions],Overhead616[[#This Row],[Fonction]],SalCommune[Frais généraux],Overhead616[[#Headers],[Frais indirectement liés à l''activité - Autres fonctions - Administration / Logistique]])</f>
        <v>0</v>
      </c>
      <c r="AG65" s="61">
        <f>SUMIFS(SalCommune[Total éligible],SalCommune[Allocations fonctions],Overhead616[[#This Row],[Fonction]],SalCommune[Frais généraux],Overhead616[[#Headers],[Frais indirectement liés à l''activité - Autres fonctions - Chargé(e) de direction]])</f>
        <v>0</v>
      </c>
      <c r="AH65" s="62">
        <f>SUMIFS(SalCommune[Total éligible],SalCommune[Allocations fonctions],Overhead616[[#This Row],[Fonction]],SalCommune[Frais généraux],Overhead616[[#Headers],[Frais indirectement liés à l''activité - Autres fonctions - Direction générale]])</f>
        <v>0</v>
      </c>
    </row>
    <row r="66" spans="9:34" x14ac:dyDescent="0.25">
      <c r="I66" t="s">
        <v>290</v>
      </c>
      <c r="AA66" s="574"/>
      <c r="AB66" s="58" t="s">
        <v>100</v>
      </c>
      <c r="AC66" s="53">
        <f>SUMIFS(SalCommune[Total éligible],SalCommune[Allocations fonctions],Overhead616[[#This Row],[Fonction]],SalCommune[Frais généraux],Overhead616[[#Headers],[Frais directement liés à l''activité - Encadrement]])</f>
        <v>0</v>
      </c>
      <c r="AD66" s="53">
        <f>SUMIFS(SalCommune[Total éligible],SalCommune[Allocations fonctions],Overhead616[[#This Row],[Fonction]],SalCommune[Frais généraux],Overhead616[[#Headers],[Frais directement liés à l''activité - Logistique]])</f>
        <v>0</v>
      </c>
      <c r="AE66" s="53">
        <f>SUMIFS(SalCommune[Total éligible],SalCommune[Allocations fonctions],Overhead616[[#This Row],[Fonction]],SalCommune[Frais généraux],Overhead616[[#Headers],[Frais indirectement liés à l''activité - Prévues par la loi ]])</f>
        <v>0</v>
      </c>
      <c r="AF66" s="53">
        <f>SUMIFS(SalCommune[Total éligible],SalCommune[Allocations fonctions],Overhead616[[#This Row],[Fonction]],SalCommune[Frais généraux],Overhead616[[#Headers],[Frais indirectement liés à l''activité - Autres fonctions - Administration / Logistique]])</f>
        <v>0</v>
      </c>
      <c r="AG66" s="53">
        <f>SUMIFS(SalCommune[Total éligible],SalCommune[Allocations fonctions],Overhead616[[#This Row],[Fonction]],SalCommune[Frais généraux],Overhead616[[#Headers],[Frais indirectement liés à l''activité - Autres fonctions - Chargé(e) de direction]])</f>
        <v>0</v>
      </c>
      <c r="AH66" s="54">
        <f>SUMIFS(SalCommune[Total éligible],SalCommune[Allocations fonctions],Overhead616[[#This Row],[Fonction]],SalCommune[Frais généraux],Overhead616[[#Headers],[Frais indirectement liés à l''activité - Autres fonctions - Direction générale]])</f>
        <v>0</v>
      </c>
    </row>
    <row r="67" spans="9:34" x14ac:dyDescent="0.25">
      <c r="I67" t="s">
        <v>291</v>
      </c>
      <c r="AA67" s="574"/>
      <c r="AB67" s="58" t="s">
        <v>101</v>
      </c>
      <c r="AC67" s="53">
        <f>SUMIFS(SalCommune[Total éligible],SalCommune[Allocations fonctions],Overhead616[[#This Row],[Fonction]],SalCommune[Frais généraux],Overhead616[[#Headers],[Frais directement liés à l''activité - Encadrement]])</f>
        <v>0</v>
      </c>
      <c r="AD67" s="53">
        <f>SUMIFS(SalCommune[Total éligible],SalCommune[Allocations fonctions],Overhead616[[#This Row],[Fonction]],SalCommune[Frais généraux],Overhead616[[#Headers],[Frais directement liés à l''activité - Logistique]])</f>
        <v>0</v>
      </c>
      <c r="AE67" s="53">
        <f>SUMIFS(SalCommune[Total éligible],SalCommune[Allocations fonctions],Overhead616[[#This Row],[Fonction]],SalCommune[Frais généraux],Overhead616[[#Headers],[Frais indirectement liés à l''activité - Prévues par la loi ]])</f>
        <v>0</v>
      </c>
      <c r="AF67" s="53">
        <f>SUMIFS(SalCommune[Total éligible],SalCommune[Allocations fonctions],Overhead616[[#This Row],[Fonction]],SalCommune[Frais généraux],Overhead616[[#Headers],[Frais indirectement liés à l''activité - Autres fonctions - Administration / Logistique]])</f>
        <v>0</v>
      </c>
      <c r="AG67" s="53">
        <f>SUMIFS(SalCommune[Total éligible],SalCommune[Allocations fonctions],Overhead616[[#This Row],[Fonction]],SalCommune[Frais généraux],Overhead616[[#Headers],[Frais indirectement liés à l''activité - Autres fonctions - Chargé(e) de direction]])</f>
        <v>0</v>
      </c>
      <c r="AH67" s="54">
        <f>SUMIFS(SalCommune[Total éligible],SalCommune[Allocations fonctions],Overhead616[[#This Row],[Fonction]],SalCommune[Frais généraux],Overhead616[[#Headers],[Frais indirectement liés à l''activité - Autres fonctions - Direction générale]])</f>
        <v>0</v>
      </c>
    </row>
    <row r="68" spans="9:34" x14ac:dyDescent="0.25">
      <c r="I68" t="s">
        <v>292</v>
      </c>
      <c r="AA68" s="574"/>
      <c r="AB68" s="58" t="s">
        <v>102</v>
      </c>
      <c r="AC68" s="53">
        <f>SUMIFS(SalCommune[Total éligible],SalCommune[Allocations fonctions],Overhead616[[#This Row],[Fonction]],SalCommune[Frais généraux],Overhead616[[#Headers],[Frais directement liés à l''activité - Encadrement]])</f>
        <v>0</v>
      </c>
      <c r="AD68" s="53">
        <f>SUMIFS(SalCommune[Total éligible],SalCommune[Allocations fonctions],Overhead616[[#This Row],[Fonction]],SalCommune[Frais généraux],Overhead616[[#Headers],[Frais directement liés à l''activité - Logistique]])</f>
        <v>0</v>
      </c>
      <c r="AE68" s="53">
        <f>SUMIFS(SalCommune[Total éligible],SalCommune[Allocations fonctions],Overhead616[[#This Row],[Fonction]],SalCommune[Frais généraux],Overhead616[[#Headers],[Frais indirectement liés à l''activité - Prévues par la loi ]])</f>
        <v>0</v>
      </c>
      <c r="AF68" s="53">
        <f>SUMIFS(SalCommune[Total éligible],SalCommune[Allocations fonctions],Overhead616[[#This Row],[Fonction]],SalCommune[Frais généraux],Overhead616[[#Headers],[Frais indirectement liés à l''activité - Autres fonctions - Administration / Logistique]])</f>
        <v>0</v>
      </c>
      <c r="AG68" s="53">
        <f>SUMIFS(SalCommune[Total éligible],SalCommune[Allocations fonctions],Overhead616[[#This Row],[Fonction]],SalCommune[Frais généraux],Overhead616[[#Headers],[Frais indirectement liés à l''activité - Autres fonctions - Chargé(e) de direction]])</f>
        <v>0</v>
      </c>
      <c r="AH68" s="54">
        <f>SUMIFS(SalCommune[Total éligible],SalCommune[Allocations fonctions],Overhead616[[#This Row],[Fonction]],SalCommune[Frais généraux],Overhead616[[#Headers],[Frais indirectement liés à l''activité - Autres fonctions - Direction générale]])</f>
        <v>0</v>
      </c>
    </row>
    <row r="69" spans="9:34" x14ac:dyDescent="0.25">
      <c r="I69" t="s">
        <v>293</v>
      </c>
      <c r="AA69" s="574"/>
      <c r="AB69" s="58" t="s">
        <v>103</v>
      </c>
      <c r="AC69" s="53">
        <f>SUMIFS(SalCommune[Total éligible],SalCommune[Allocations fonctions],Overhead616[[#This Row],[Fonction]],SalCommune[Frais généraux],Overhead616[[#Headers],[Frais directement liés à l''activité - Encadrement]])</f>
        <v>0</v>
      </c>
      <c r="AD69" s="53">
        <f>SUMIFS(SalCommune[Total éligible],SalCommune[Allocations fonctions],Overhead616[[#This Row],[Fonction]],SalCommune[Frais généraux],Overhead616[[#Headers],[Frais directement liés à l''activité - Logistique]])</f>
        <v>0</v>
      </c>
      <c r="AE69" s="53">
        <f>SUMIFS(SalCommune[Total éligible],SalCommune[Allocations fonctions],Overhead616[[#This Row],[Fonction]],SalCommune[Frais généraux],Overhead616[[#Headers],[Frais indirectement liés à l''activité - Prévues par la loi ]])</f>
        <v>0</v>
      </c>
      <c r="AF69" s="53">
        <f>SUMIFS(SalCommune[Total éligible],SalCommune[Allocations fonctions],Overhead616[[#This Row],[Fonction]],SalCommune[Frais généraux],Overhead616[[#Headers],[Frais indirectement liés à l''activité - Autres fonctions - Administration / Logistique]])</f>
        <v>0</v>
      </c>
      <c r="AG69" s="53">
        <f>SUMIFS(SalCommune[Total éligible],SalCommune[Allocations fonctions],Overhead616[[#This Row],[Fonction]],SalCommune[Frais généraux],Overhead616[[#Headers],[Frais indirectement liés à l''activité - Autres fonctions - Chargé(e) de direction]])</f>
        <v>0</v>
      </c>
      <c r="AH69" s="54">
        <f>SUMIFS(SalCommune[Total éligible],SalCommune[Allocations fonctions],Overhead616[[#This Row],[Fonction]],SalCommune[Frais généraux],Overhead616[[#Headers],[Frais indirectement liés à l''activité - Autres fonctions - Direction générale]])</f>
        <v>0</v>
      </c>
    </row>
    <row r="70" spans="9:34" x14ac:dyDescent="0.25">
      <c r="I70" t="s">
        <v>294</v>
      </c>
      <c r="AA70" s="574"/>
      <c r="AB70" s="58" t="s">
        <v>117</v>
      </c>
      <c r="AC70" s="53">
        <f>SUMIFS(SalCommune[Total éligible],SalCommune[Allocations fonctions],Overhead616[[#This Row],[Fonction]],SalCommune[Frais généraux],Overhead616[[#Headers],[Frais directement liés à l''activité - Encadrement]])</f>
        <v>0</v>
      </c>
      <c r="AD70" s="53">
        <f>SUMIFS(SalCommune[Total éligible],SalCommune[Allocations fonctions],Overhead616[[#This Row],[Fonction]],SalCommune[Frais généraux],Overhead616[[#Headers],[Frais directement liés à l''activité - Logistique]])</f>
        <v>0</v>
      </c>
      <c r="AE70" s="53">
        <f>SUMIFS(SalCommune[Total éligible],SalCommune[Allocations fonctions],Overhead616[[#This Row],[Fonction]],SalCommune[Frais généraux],Overhead616[[#Headers],[Frais indirectement liés à l''activité - Prévues par la loi ]])</f>
        <v>0</v>
      </c>
      <c r="AF70" s="53">
        <f>SUMIFS(SalCommune[Total éligible],SalCommune[Allocations fonctions],Overhead616[[#This Row],[Fonction]],SalCommune[Frais généraux],Overhead616[[#Headers],[Frais indirectement liés à l''activité - Autres fonctions - Administration / Logistique]])</f>
        <v>0</v>
      </c>
      <c r="AG70" s="53">
        <f>SUMIFS(SalCommune[Total éligible],SalCommune[Allocations fonctions],Overhead616[[#This Row],[Fonction]],SalCommune[Frais généraux],Overhead616[[#Headers],[Frais indirectement liés à l''activité - Autres fonctions - Chargé(e) de direction]])</f>
        <v>0</v>
      </c>
      <c r="AH70" s="54">
        <f>SUMIFS(SalCommune[Total éligible],SalCommune[Allocations fonctions],Overhead616[[#This Row],[Fonction]],SalCommune[Frais généraux],Overhead616[[#Headers],[Frais indirectement liés à l''activité - Autres fonctions - Direction générale]])</f>
        <v>0</v>
      </c>
    </row>
    <row r="71" spans="9:34" x14ac:dyDescent="0.25">
      <c r="I71" t="s">
        <v>295</v>
      </c>
      <c r="AA71" s="574"/>
      <c r="AB71" s="58" t="s">
        <v>104</v>
      </c>
      <c r="AC71" s="53">
        <f>SUMIFS(SalCommune[Total éligible],SalCommune[Allocations fonctions],Overhead616[[#This Row],[Fonction]],SalCommune[Frais généraux],Overhead616[[#Headers],[Frais directement liés à l''activité - Encadrement]])</f>
        <v>0</v>
      </c>
      <c r="AD71" s="53">
        <f>SUMIFS(SalCommune[Total éligible],SalCommune[Allocations fonctions],Overhead616[[#This Row],[Fonction]],SalCommune[Frais généraux],Overhead616[[#Headers],[Frais directement liés à l''activité - Logistique]])</f>
        <v>0</v>
      </c>
      <c r="AE71" s="53">
        <f>SUMIFS(SalCommune[Total éligible],SalCommune[Allocations fonctions],Overhead616[[#This Row],[Fonction]],SalCommune[Frais généraux],Overhead616[[#Headers],[Frais indirectement liés à l''activité - Prévues par la loi ]])</f>
        <v>0</v>
      </c>
      <c r="AF71" s="53">
        <f>SUMIFS(SalCommune[Total éligible],SalCommune[Allocations fonctions],Overhead616[[#This Row],[Fonction]],SalCommune[Frais généraux],Overhead616[[#Headers],[Frais indirectement liés à l''activité - Autres fonctions - Administration / Logistique]])</f>
        <v>0</v>
      </c>
      <c r="AG71" s="53">
        <f>SUMIFS(SalCommune[Total éligible],SalCommune[Allocations fonctions],Overhead616[[#This Row],[Fonction]],SalCommune[Frais généraux],Overhead616[[#Headers],[Frais indirectement liés à l''activité - Autres fonctions - Chargé(e) de direction]])</f>
        <v>0</v>
      </c>
      <c r="AH71" s="54">
        <f>SUMIFS(SalCommune[Total éligible],SalCommune[Allocations fonctions],Overhead616[[#This Row],[Fonction]],SalCommune[Frais généraux],Overhead616[[#Headers],[Frais indirectement liés à l''activité - Autres fonctions - Direction générale]])</f>
        <v>0</v>
      </c>
    </row>
    <row r="72" spans="9:34" x14ac:dyDescent="0.25">
      <c r="I72" t="s">
        <v>296</v>
      </c>
      <c r="AA72" s="574"/>
      <c r="AB72" s="58" t="s">
        <v>105</v>
      </c>
      <c r="AC72" s="53">
        <f>SUMIFS(SalCommune[Total éligible],SalCommune[Allocations fonctions],Overhead616[[#This Row],[Fonction]],SalCommune[Frais généraux],Overhead616[[#Headers],[Frais directement liés à l''activité - Encadrement]])</f>
        <v>0</v>
      </c>
      <c r="AD72" s="53">
        <f>SUMIFS(SalCommune[Total éligible],SalCommune[Allocations fonctions],Overhead616[[#This Row],[Fonction]],SalCommune[Frais généraux],Overhead616[[#Headers],[Frais directement liés à l''activité - Logistique]])</f>
        <v>0</v>
      </c>
      <c r="AE72" s="53">
        <f>SUMIFS(SalCommune[Total éligible],SalCommune[Allocations fonctions],Overhead616[[#This Row],[Fonction]],SalCommune[Frais généraux],Overhead616[[#Headers],[Frais indirectement liés à l''activité - Prévues par la loi ]])</f>
        <v>0</v>
      </c>
      <c r="AF72" s="53">
        <f>SUMIFS(SalCommune[Total éligible],SalCommune[Allocations fonctions],Overhead616[[#This Row],[Fonction]],SalCommune[Frais généraux],Overhead616[[#Headers],[Frais indirectement liés à l''activité - Autres fonctions - Administration / Logistique]])</f>
        <v>0</v>
      </c>
      <c r="AG72" s="53">
        <f>SUMIFS(SalCommune[Total éligible],SalCommune[Allocations fonctions],Overhead616[[#This Row],[Fonction]],SalCommune[Frais généraux],Overhead616[[#Headers],[Frais indirectement liés à l''activité - Autres fonctions - Chargé(e) de direction]])</f>
        <v>0</v>
      </c>
      <c r="AH72" s="54">
        <f>SUMIFS(SalCommune[Total éligible],SalCommune[Allocations fonctions],Overhead616[[#This Row],[Fonction]],SalCommune[Frais généraux],Overhead616[[#Headers],[Frais indirectement liés à l''activité - Autres fonctions - Direction générale]])</f>
        <v>0</v>
      </c>
    </row>
    <row r="73" spans="9:34" x14ac:dyDescent="0.25">
      <c r="I73" t="s">
        <v>297</v>
      </c>
      <c r="AA73" s="574"/>
      <c r="AB73" s="58" t="s">
        <v>106</v>
      </c>
      <c r="AC73" s="53">
        <f>SUMIFS(SalCommune[Total éligible],SalCommune[Allocations fonctions],Overhead616[[#This Row],[Fonction]],SalCommune[Frais généraux],Overhead616[[#Headers],[Frais directement liés à l''activité - Encadrement]])</f>
        <v>0</v>
      </c>
      <c r="AD73" s="53">
        <f>SUMIFS(SalCommune[Total éligible],SalCommune[Allocations fonctions],Overhead616[[#This Row],[Fonction]],SalCommune[Frais généraux],Overhead616[[#Headers],[Frais directement liés à l''activité - Logistique]])</f>
        <v>0</v>
      </c>
      <c r="AE73" s="53">
        <f>SUMIFS(SalCommune[Total éligible],SalCommune[Allocations fonctions],Overhead616[[#This Row],[Fonction]],SalCommune[Frais généraux],Overhead616[[#Headers],[Frais indirectement liés à l''activité - Prévues par la loi ]])</f>
        <v>0</v>
      </c>
      <c r="AF73" s="53">
        <f>SUMIFS(SalCommune[Total éligible],SalCommune[Allocations fonctions],Overhead616[[#This Row],[Fonction]],SalCommune[Frais généraux],Overhead616[[#Headers],[Frais indirectement liés à l''activité - Autres fonctions - Administration / Logistique]])</f>
        <v>0</v>
      </c>
      <c r="AG73" s="53">
        <f>SUMIFS(SalCommune[Total éligible],SalCommune[Allocations fonctions],Overhead616[[#This Row],[Fonction]],SalCommune[Frais généraux],Overhead616[[#Headers],[Frais indirectement liés à l''activité - Autres fonctions - Chargé(e) de direction]])</f>
        <v>0</v>
      </c>
      <c r="AH73" s="54">
        <f>SUMIFS(SalCommune[Total éligible],SalCommune[Allocations fonctions],Overhead616[[#This Row],[Fonction]],SalCommune[Frais généraux],Overhead616[[#Headers],[Frais indirectement liés à l''activité - Autres fonctions - Direction générale]])</f>
        <v>0</v>
      </c>
    </row>
    <row r="74" spans="9:34" x14ac:dyDescent="0.25">
      <c r="I74" t="s">
        <v>298</v>
      </c>
      <c r="AA74" s="574"/>
      <c r="AB74" s="58" t="s">
        <v>107</v>
      </c>
      <c r="AC74" s="53">
        <f>SUMIFS(SalCommune[Total éligible],SalCommune[Allocations fonctions],Overhead616[[#This Row],[Fonction]],SalCommune[Frais généraux],Overhead616[[#Headers],[Frais directement liés à l''activité - Encadrement]])</f>
        <v>0</v>
      </c>
      <c r="AD74" s="53">
        <f>SUMIFS(SalCommune[Total éligible],SalCommune[Allocations fonctions],Overhead616[[#This Row],[Fonction]],SalCommune[Frais généraux],Overhead616[[#Headers],[Frais directement liés à l''activité - Logistique]])</f>
        <v>0</v>
      </c>
      <c r="AE74" s="53">
        <f>SUMIFS(SalCommune[Total éligible],SalCommune[Allocations fonctions],Overhead616[[#This Row],[Fonction]],SalCommune[Frais généraux],Overhead616[[#Headers],[Frais indirectement liés à l''activité - Prévues par la loi ]])</f>
        <v>0</v>
      </c>
      <c r="AF74" s="53">
        <f>SUMIFS(SalCommune[Total éligible],SalCommune[Allocations fonctions],Overhead616[[#This Row],[Fonction]],SalCommune[Frais généraux],Overhead616[[#Headers],[Frais indirectement liés à l''activité - Autres fonctions - Administration / Logistique]])</f>
        <v>0</v>
      </c>
      <c r="AG74" s="53">
        <f>SUMIFS(SalCommune[Total éligible],SalCommune[Allocations fonctions],Overhead616[[#This Row],[Fonction]],SalCommune[Frais généraux],Overhead616[[#Headers],[Frais indirectement liés à l''activité - Autres fonctions - Chargé(e) de direction]])</f>
        <v>0</v>
      </c>
      <c r="AH74" s="54">
        <f>SUMIFS(SalCommune[Total éligible],SalCommune[Allocations fonctions],Overhead616[[#This Row],[Fonction]],SalCommune[Frais généraux],Overhead616[[#Headers],[Frais indirectement liés à l''activité - Autres fonctions - Direction générale]])</f>
        <v>0</v>
      </c>
    </row>
    <row r="75" spans="9:34" x14ac:dyDescent="0.25">
      <c r="I75" t="s">
        <v>299</v>
      </c>
      <c r="AA75" s="574"/>
      <c r="AB75" s="58" t="s">
        <v>108</v>
      </c>
      <c r="AC75" s="53">
        <f>SUMIFS(SalCommune[Total éligible],SalCommune[Allocations fonctions],Overhead616[[#This Row],[Fonction]],SalCommune[Frais généraux],Overhead616[[#Headers],[Frais directement liés à l''activité - Encadrement]])</f>
        <v>0</v>
      </c>
      <c r="AD75" s="53">
        <f>SUMIFS(SalCommune[Total éligible],SalCommune[Allocations fonctions],Overhead616[[#This Row],[Fonction]],SalCommune[Frais généraux],Overhead616[[#Headers],[Frais directement liés à l''activité - Logistique]])</f>
        <v>0</v>
      </c>
      <c r="AE75" s="53">
        <f>SUMIFS(SalCommune[Total éligible],SalCommune[Allocations fonctions],Overhead616[[#This Row],[Fonction]],SalCommune[Frais généraux],Overhead616[[#Headers],[Frais indirectement liés à l''activité - Prévues par la loi ]])</f>
        <v>0</v>
      </c>
      <c r="AF75" s="53">
        <f>SUMIFS(SalCommune[Total éligible],SalCommune[Allocations fonctions],Overhead616[[#This Row],[Fonction]],SalCommune[Frais généraux],Overhead616[[#Headers],[Frais indirectement liés à l''activité - Autres fonctions - Administration / Logistique]])</f>
        <v>0</v>
      </c>
      <c r="AG75" s="53">
        <f>SUMIFS(SalCommune[Total éligible],SalCommune[Allocations fonctions],Overhead616[[#This Row],[Fonction]],SalCommune[Frais généraux],Overhead616[[#Headers],[Frais indirectement liés à l''activité - Autres fonctions - Chargé(e) de direction]])</f>
        <v>0</v>
      </c>
      <c r="AH75" s="54">
        <f>SUMIFS(SalCommune[Total éligible],SalCommune[Allocations fonctions],Overhead616[[#This Row],[Fonction]],SalCommune[Frais généraux],Overhead616[[#Headers],[Frais indirectement liés à l''activité - Autres fonctions - Direction générale]])</f>
        <v>0</v>
      </c>
    </row>
    <row r="76" spans="9:34" x14ac:dyDescent="0.25">
      <c r="I76" t="s">
        <v>300</v>
      </c>
      <c r="AA76" s="574"/>
      <c r="AB76" s="58" t="s">
        <v>109</v>
      </c>
      <c r="AC76" s="53">
        <f>SUMIFS(SalCommune[Total éligible],SalCommune[Allocations fonctions],Overhead616[[#This Row],[Fonction]],SalCommune[Frais généraux],Overhead616[[#Headers],[Frais directement liés à l''activité - Encadrement]])</f>
        <v>0</v>
      </c>
      <c r="AD76" s="53">
        <f>SUMIFS(SalCommune[Total éligible],SalCommune[Allocations fonctions],Overhead616[[#This Row],[Fonction]],SalCommune[Frais généraux],Overhead616[[#Headers],[Frais directement liés à l''activité - Logistique]])</f>
        <v>0</v>
      </c>
      <c r="AE76" s="53">
        <f>SUMIFS(SalCommune[Total éligible],SalCommune[Allocations fonctions],Overhead616[[#This Row],[Fonction]],SalCommune[Frais généraux],Overhead616[[#Headers],[Frais indirectement liés à l''activité - Prévues par la loi ]])</f>
        <v>0</v>
      </c>
      <c r="AF76" s="53">
        <f>SUMIFS(SalCommune[Total éligible],SalCommune[Allocations fonctions],Overhead616[[#This Row],[Fonction]],SalCommune[Frais généraux],Overhead616[[#Headers],[Frais indirectement liés à l''activité - Autres fonctions - Administration / Logistique]])</f>
        <v>0</v>
      </c>
      <c r="AG76" s="53">
        <f>SUMIFS(SalCommune[Total éligible],SalCommune[Allocations fonctions],Overhead616[[#This Row],[Fonction]],SalCommune[Frais généraux],Overhead616[[#Headers],[Frais indirectement liés à l''activité - Autres fonctions - Chargé(e) de direction]])</f>
        <v>0</v>
      </c>
      <c r="AH76" s="54">
        <f>SUMIFS(SalCommune[Total éligible],SalCommune[Allocations fonctions],Overhead616[[#This Row],[Fonction]],SalCommune[Frais généraux],Overhead616[[#Headers],[Frais indirectement liés à l''activité - Autres fonctions - Direction générale]])</f>
        <v>0</v>
      </c>
    </row>
    <row r="77" spans="9:34" x14ac:dyDescent="0.25">
      <c r="I77" t="s">
        <v>301</v>
      </c>
      <c r="AA77" s="574"/>
      <c r="AB77" s="58" t="s">
        <v>110</v>
      </c>
      <c r="AC77" s="53">
        <f>SUMIFS(SalCommune[Total éligible],SalCommune[Allocations fonctions],Overhead616[[#This Row],[Fonction]],SalCommune[Frais généraux],Overhead616[[#Headers],[Frais directement liés à l''activité - Encadrement]])</f>
        <v>0</v>
      </c>
      <c r="AD77" s="53">
        <f>SUMIFS(SalCommune[Total éligible],SalCommune[Allocations fonctions],Overhead616[[#This Row],[Fonction]],SalCommune[Frais généraux],Overhead616[[#Headers],[Frais directement liés à l''activité - Logistique]])</f>
        <v>0</v>
      </c>
      <c r="AE77" s="53">
        <f>SUMIFS(SalCommune[Total éligible],SalCommune[Allocations fonctions],Overhead616[[#This Row],[Fonction]],SalCommune[Frais généraux],Overhead616[[#Headers],[Frais indirectement liés à l''activité - Prévues par la loi ]])</f>
        <v>0</v>
      </c>
      <c r="AF77" s="53">
        <f>SUMIFS(SalCommune[Total éligible],SalCommune[Allocations fonctions],Overhead616[[#This Row],[Fonction]],SalCommune[Frais généraux],Overhead616[[#Headers],[Frais indirectement liés à l''activité - Autres fonctions - Administration / Logistique]])</f>
        <v>0</v>
      </c>
      <c r="AG77" s="53">
        <f>SUMIFS(SalCommune[Total éligible],SalCommune[Allocations fonctions],Overhead616[[#This Row],[Fonction]],SalCommune[Frais généraux],Overhead616[[#Headers],[Frais indirectement liés à l''activité - Autres fonctions - Chargé(e) de direction]])</f>
        <v>0</v>
      </c>
      <c r="AH77" s="54">
        <f>SUMIFS(SalCommune[Total éligible],SalCommune[Allocations fonctions],Overhead616[[#This Row],[Fonction]],SalCommune[Frais généraux],Overhead616[[#Headers],[Frais indirectement liés à l''activité - Autres fonctions - Direction générale]])</f>
        <v>0</v>
      </c>
    </row>
    <row r="78" spans="9:34" x14ac:dyDescent="0.25">
      <c r="I78" t="s">
        <v>302</v>
      </c>
      <c r="AA78" s="574"/>
      <c r="AB78" s="58" t="s">
        <v>111</v>
      </c>
      <c r="AC78" s="53">
        <f>SUMIFS(SalCommune[Total éligible],SalCommune[Allocations fonctions],Overhead616[[#This Row],[Fonction]],SalCommune[Frais généraux],Overhead616[[#Headers],[Frais directement liés à l''activité - Encadrement]])</f>
        <v>0</v>
      </c>
      <c r="AD78" s="53">
        <f>SUMIFS(SalCommune[Total éligible],SalCommune[Allocations fonctions],Overhead616[[#This Row],[Fonction]],SalCommune[Frais généraux],Overhead616[[#Headers],[Frais directement liés à l''activité - Logistique]])</f>
        <v>0</v>
      </c>
      <c r="AE78" s="53">
        <f>SUMIFS(SalCommune[Total éligible],SalCommune[Allocations fonctions],Overhead616[[#This Row],[Fonction]],SalCommune[Frais généraux],Overhead616[[#Headers],[Frais indirectement liés à l''activité - Prévues par la loi ]])</f>
        <v>0</v>
      </c>
      <c r="AF78" s="53">
        <f>SUMIFS(SalCommune[Total éligible],SalCommune[Allocations fonctions],Overhead616[[#This Row],[Fonction]],SalCommune[Frais généraux],Overhead616[[#Headers],[Frais indirectement liés à l''activité - Autres fonctions - Administration / Logistique]])</f>
        <v>0</v>
      </c>
      <c r="AG78" s="53">
        <f>SUMIFS(SalCommune[Total éligible],SalCommune[Allocations fonctions],Overhead616[[#This Row],[Fonction]],SalCommune[Frais généraux],Overhead616[[#Headers],[Frais indirectement liés à l''activité - Autres fonctions - Chargé(e) de direction]])</f>
        <v>0</v>
      </c>
      <c r="AH78" s="54">
        <f>SUMIFS(SalCommune[Total éligible],SalCommune[Allocations fonctions],Overhead616[[#This Row],[Fonction]],SalCommune[Frais généraux],Overhead616[[#Headers],[Frais indirectement liés à l''activité - Autres fonctions - Direction générale]])</f>
        <v>0</v>
      </c>
    </row>
    <row r="79" spans="9:34" x14ac:dyDescent="0.25">
      <c r="I79" t="s">
        <v>303</v>
      </c>
      <c r="AA79" s="574"/>
      <c r="AB79" s="58" t="s">
        <v>112</v>
      </c>
      <c r="AC79" s="53">
        <f>SUMIFS(SalCommune[Total éligible],SalCommune[Allocations fonctions],Overhead616[[#This Row],[Fonction]],SalCommune[Frais généraux],Overhead616[[#Headers],[Frais directement liés à l''activité - Encadrement]])</f>
        <v>0</v>
      </c>
      <c r="AD79" s="53">
        <f>SUMIFS(SalCommune[Total éligible],SalCommune[Allocations fonctions],Overhead616[[#This Row],[Fonction]],SalCommune[Frais généraux],Overhead616[[#Headers],[Frais directement liés à l''activité - Logistique]])</f>
        <v>0</v>
      </c>
      <c r="AE79" s="53">
        <f>SUMIFS(SalCommune[Total éligible],SalCommune[Allocations fonctions],Overhead616[[#This Row],[Fonction]],SalCommune[Frais généraux],Overhead616[[#Headers],[Frais indirectement liés à l''activité - Prévues par la loi ]])</f>
        <v>0</v>
      </c>
      <c r="AF79" s="53">
        <f>SUMIFS(SalCommune[Total éligible],SalCommune[Allocations fonctions],Overhead616[[#This Row],[Fonction]],SalCommune[Frais généraux],Overhead616[[#Headers],[Frais indirectement liés à l''activité - Autres fonctions - Administration / Logistique]])</f>
        <v>0</v>
      </c>
      <c r="AG79" s="53">
        <f>SUMIFS(SalCommune[Total éligible],SalCommune[Allocations fonctions],Overhead616[[#This Row],[Fonction]],SalCommune[Frais généraux],Overhead616[[#Headers],[Frais indirectement liés à l''activité - Autres fonctions - Chargé(e) de direction]])</f>
        <v>0</v>
      </c>
      <c r="AH79" s="54">
        <f>SUMIFS(SalCommune[Total éligible],SalCommune[Allocations fonctions],Overhead616[[#This Row],[Fonction]],SalCommune[Frais généraux],Overhead616[[#Headers],[Frais indirectement liés à l''activité - Autres fonctions - Direction générale]])</f>
        <v>0</v>
      </c>
    </row>
    <row r="80" spans="9:34" x14ac:dyDescent="0.25">
      <c r="I80" t="s">
        <v>304</v>
      </c>
      <c r="AA80" s="574"/>
      <c r="AB80" s="58" t="s">
        <v>113</v>
      </c>
      <c r="AC80" s="53">
        <f>SUMIFS(SalCommune[Total éligible],SalCommune[Allocations fonctions],Overhead616[[#This Row],[Fonction]],SalCommune[Frais généraux],Overhead616[[#Headers],[Frais directement liés à l''activité - Encadrement]])</f>
        <v>0</v>
      </c>
      <c r="AD80" s="53">
        <f>SUMIFS(SalCommune[Total éligible],SalCommune[Allocations fonctions],Overhead616[[#This Row],[Fonction]],SalCommune[Frais généraux],Overhead616[[#Headers],[Frais directement liés à l''activité - Logistique]])</f>
        <v>0</v>
      </c>
      <c r="AE80" s="53">
        <f>SUMIFS(SalCommune[Total éligible],SalCommune[Allocations fonctions],Overhead616[[#This Row],[Fonction]],SalCommune[Frais généraux],Overhead616[[#Headers],[Frais indirectement liés à l''activité - Prévues par la loi ]])</f>
        <v>0</v>
      </c>
      <c r="AF80" s="53">
        <f>SUMIFS(SalCommune[Total éligible],SalCommune[Allocations fonctions],Overhead616[[#This Row],[Fonction]],SalCommune[Frais généraux],Overhead616[[#Headers],[Frais indirectement liés à l''activité - Autres fonctions - Administration / Logistique]])</f>
        <v>0</v>
      </c>
      <c r="AG80" s="53">
        <f>SUMIFS(SalCommune[Total éligible],SalCommune[Allocations fonctions],Overhead616[[#This Row],[Fonction]],SalCommune[Frais généraux],Overhead616[[#Headers],[Frais indirectement liés à l''activité - Autres fonctions - Chargé(e) de direction]])</f>
        <v>0</v>
      </c>
      <c r="AH80" s="54">
        <f>SUMIFS(SalCommune[Total éligible],SalCommune[Allocations fonctions],Overhead616[[#This Row],[Fonction]],SalCommune[Frais généraux],Overhead616[[#Headers],[Frais indirectement liés à l''activité - Autres fonctions - Direction générale]])</f>
        <v>0</v>
      </c>
    </row>
    <row r="81" spans="9:37" x14ac:dyDescent="0.25">
      <c r="I81" t="s">
        <v>305</v>
      </c>
      <c r="AA81" s="574"/>
      <c r="AB81" s="58" t="s">
        <v>114</v>
      </c>
      <c r="AC81" s="53">
        <f>SUMIFS(SalCommune[Total éligible],SalCommune[Allocations fonctions],Overhead616[[#This Row],[Fonction]],SalCommune[Frais généraux],Overhead616[[#Headers],[Frais directement liés à l''activité - Encadrement]])</f>
        <v>0</v>
      </c>
      <c r="AD81" s="53">
        <f>SUMIFS(SalCommune[Total éligible],SalCommune[Allocations fonctions],Overhead616[[#This Row],[Fonction]],SalCommune[Frais généraux],Overhead616[[#Headers],[Frais directement liés à l''activité - Logistique]])</f>
        <v>0</v>
      </c>
      <c r="AE81" s="53">
        <f>SUMIFS(SalCommune[Total éligible],SalCommune[Allocations fonctions],Overhead616[[#This Row],[Fonction]],SalCommune[Frais généraux],Overhead616[[#Headers],[Frais indirectement liés à l''activité - Prévues par la loi ]])</f>
        <v>0</v>
      </c>
      <c r="AF81" s="53">
        <f>SUMIFS(SalCommune[Total éligible],SalCommune[Allocations fonctions],Overhead616[[#This Row],[Fonction]],SalCommune[Frais généraux],Overhead616[[#Headers],[Frais indirectement liés à l''activité - Autres fonctions - Administration / Logistique]])</f>
        <v>0</v>
      </c>
      <c r="AG81" s="53">
        <f>SUMIFS(SalCommune[Total éligible],SalCommune[Allocations fonctions],Overhead616[[#This Row],[Fonction]],SalCommune[Frais généraux],Overhead616[[#Headers],[Frais indirectement liés à l''activité - Autres fonctions - Chargé(e) de direction]])</f>
        <v>0</v>
      </c>
      <c r="AH81" s="54">
        <f>SUMIFS(SalCommune[Total éligible],SalCommune[Allocations fonctions],Overhead616[[#This Row],[Fonction]],SalCommune[Frais généraux],Overhead616[[#Headers],[Frais indirectement liés à l''activité - Autres fonctions - Direction générale]])</f>
        <v>0</v>
      </c>
    </row>
    <row r="82" spans="9:37" x14ac:dyDescent="0.25">
      <c r="AA82" s="574"/>
      <c r="AB82" s="58" t="s">
        <v>115</v>
      </c>
      <c r="AC82" s="53">
        <f>SUMIFS(SalCommune[Total éligible],SalCommune[Allocations fonctions],Overhead616[[#This Row],[Fonction]],SalCommune[Frais généraux],Overhead616[[#Headers],[Frais directement liés à l''activité - Encadrement]])</f>
        <v>0</v>
      </c>
      <c r="AD82" s="53">
        <f>SUMIFS(SalCommune[Total éligible],SalCommune[Allocations fonctions],Overhead616[[#This Row],[Fonction]],SalCommune[Frais généraux],Overhead616[[#Headers],[Frais directement liés à l''activité - Logistique]])</f>
        <v>0</v>
      </c>
      <c r="AE82" s="53">
        <f>SUMIFS(SalCommune[Total éligible],SalCommune[Allocations fonctions],Overhead616[[#This Row],[Fonction]],SalCommune[Frais généraux],Overhead616[[#Headers],[Frais indirectement liés à l''activité - Prévues par la loi ]])</f>
        <v>0</v>
      </c>
      <c r="AF82" s="53">
        <f>SUMIFS(SalCommune[Total éligible],SalCommune[Allocations fonctions],Overhead616[[#This Row],[Fonction]],SalCommune[Frais généraux],Overhead616[[#Headers],[Frais indirectement liés à l''activité - Autres fonctions - Administration / Logistique]])</f>
        <v>0</v>
      </c>
      <c r="AG82" s="53">
        <f>SUMIFS(SalCommune[Total éligible],SalCommune[Allocations fonctions],Overhead616[[#This Row],[Fonction]],SalCommune[Frais généraux],Overhead616[[#Headers],[Frais indirectement liés à l''activité - Autres fonctions - Chargé(e) de direction]])</f>
        <v>0</v>
      </c>
      <c r="AH82" s="54">
        <f>SUMIFS(SalCommune[Total éligible],SalCommune[Allocations fonctions],Overhead616[[#This Row],[Fonction]],SalCommune[Frais généraux],Overhead616[[#Headers],[Frais indirectement liés à l''activité - Autres fonctions - Direction générale]])</f>
        <v>0</v>
      </c>
    </row>
    <row r="83" spans="9:37" ht="15.75" thickBot="1" x14ac:dyDescent="0.3">
      <c r="AA83" s="575"/>
      <c r="AB83" s="58" t="s">
        <v>116</v>
      </c>
      <c r="AC83" s="53">
        <f>SUMIFS(SalCommune[Total éligible],SalCommune[Allocations fonctions],Overhead616[[#This Row],[Fonction]],SalCommune[Frais généraux],Overhead616[[#Headers],[Frais directement liés à l''activité - Encadrement]])</f>
        <v>0</v>
      </c>
      <c r="AD83" s="53">
        <f>SUMIFS(SalCommune[Total éligible],SalCommune[Allocations fonctions],Overhead616[[#This Row],[Fonction]],SalCommune[Frais généraux],Overhead616[[#Headers],[Frais directement liés à l''activité - Logistique]])</f>
        <v>0</v>
      </c>
      <c r="AE83" s="53">
        <f>SUMIFS(SalCommune[Total éligible],SalCommune[Allocations fonctions],Overhead616[[#This Row],[Fonction]],SalCommune[Frais généraux],Overhead616[[#Headers],[Frais indirectement liés à l''activité - Prévues par la loi ]])</f>
        <v>0</v>
      </c>
      <c r="AF83" s="53">
        <f>SUMIFS(SalCommune[Total éligible],SalCommune[Allocations fonctions],Overhead616[[#This Row],[Fonction]],SalCommune[Frais généraux],Overhead616[[#Headers],[Frais indirectement liés à l''activité - Autres fonctions - Administration / Logistique]])</f>
        <v>0</v>
      </c>
      <c r="AG83" s="53">
        <f>SUMIFS(SalCommune[Total éligible],SalCommune[Allocations fonctions],Overhead616[[#This Row],[Fonction]],SalCommune[Frais généraux],Overhead616[[#Headers],[Frais indirectement liés à l''activité - Autres fonctions - Chargé(e) de direction]])</f>
        <v>0</v>
      </c>
      <c r="AH83" s="54">
        <f>SUMIFS(SalCommune[Total éligible],SalCommune[Allocations fonctions],Overhead616[[#This Row],[Fonction]],SalCommune[Frais généraux],Overhead616[[#Headers],[Frais indirectement liés à l''activité - Autres fonctions - Direction générale]])</f>
        <v>0</v>
      </c>
    </row>
    <row r="84" spans="9:37" ht="15" customHeight="1" x14ac:dyDescent="0.25">
      <c r="AA84" s="573" t="s">
        <v>423</v>
      </c>
      <c r="AB84" s="60" t="s">
        <v>425</v>
      </c>
      <c r="AC84" s="61">
        <f>SUMIFS(Recettes[Montant],Recettes[Fonctions],Overhead616[[#This Row],[Fonction]],Recettes[Frais généraux],Overhead616[[#Headers],[Frais directement liés à l''activité - Encadrement]])</f>
        <v>0</v>
      </c>
      <c r="AD84" s="61">
        <f>SUMIFS(Recettes[Montant],Recettes[Fonctions],Overhead616[[#This Row],[Fonction]],Recettes[Frais généraux],Overhead616[[#Headers],[Frais directement liés à l''activité - Logistique]])</f>
        <v>0</v>
      </c>
      <c r="AE84" s="61">
        <f>SUMIFS(Recettes[Montant],Recettes[Fonctions],Overhead616[[#This Row],[Fonction]],Recettes[Frais généraux],Overhead616[[#Headers],[Frais indirectement liés à l''activité - Prévues par la loi ]])</f>
        <v>0</v>
      </c>
      <c r="AF84" s="61">
        <f>SUMIFS(Recettes[Montant],Recettes[Fonctions],Overhead616[[#This Row],[Fonction]],Recettes[Frais généraux],Overhead616[[#Headers],[Frais indirectement liés à l''activité - Autres fonctions - Administration / Logistique]])</f>
        <v>0</v>
      </c>
      <c r="AG84" s="61">
        <f>SUMIFS(Recettes[Montant],Recettes[Fonctions],Overhead616[[#This Row],[Fonction]],Recettes[Frais généraux],Overhead616[[#Headers],[Frais indirectement liés à l''activité - Autres fonctions - Chargé(e) de direction]])</f>
        <v>0</v>
      </c>
      <c r="AH84" s="62">
        <f>SUMIFS(Recettes[Montant],Recettes[Fonctions],Overhead616[[#This Row],[Fonction]],Recettes[Frais généraux],Overhead616[[#Headers],[Frais indirectement liés à l''activité - Autres fonctions - Direction générale]])</f>
        <v>0</v>
      </c>
    </row>
    <row r="85" spans="9:37" x14ac:dyDescent="0.25">
      <c r="AA85" s="574"/>
      <c r="AB85" s="58" t="s">
        <v>426</v>
      </c>
      <c r="AC85" s="53">
        <f>SUMIFS(Recettes[Montant],Recettes[Fonctions],Overhead616[[#This Row],[Fonction]],Recettes[Frais généraux],Overhead616[[#Headers],[Frais directement liés à l''activité - Encadrement]])</f>
        <v>0</v>
      </c>
      <c r="AD85" s="53">
        <f>SUMIFS(Recettes[Montant],Recettes[Fonctions],Overhead616[[#This Row],[Fonction]],Recettes[Frais généraux],Overhead616[[#Headers],[Frais directement liés à l''activité - Logistique]])</f>
        <v>0</v>
      </c>
      <c r="AE85" s="53">
        <f>SUMIFS(Recettes[Montant],Recettes[Fonctions],Overhead616[[#This Row],[Fonction]],Recettes[Frais généraux],Overhead616[[#Headers],[Frais indirectement liés à l''activité - Prévues par la loi ]])</f>
        <v>0</v>
      </c>
      <c r="AF85" s="53">
        <f>SUMIFS(Recettes[Montant],Recettes[Fonctions],Overhead616[[#This Row],[Fonction]],Recettes[Frais généraux],Overhead616[[#Headers],[Frais indirectement liés à l''activité - Autres fonctions - Administration / Logistique]])</f>
        <v>0</v>
      </c>
      <c r="AG85" s="53">
        <f>SUMIFS(Recettes[Montant],Recettes[Fonctions],Overhead616[[#This Row],[Fonction]],Recettes[Frais généraux],Overhead616[[#Headers],[Frais indirectement liés à l''activité - Autres fonctions - Chargé(e) de direction]])</f>
        <v>0</v>
      </c>
      <c r="AH85" s="54">
        <f>SUMIFS(Recettes[Montant],Recettes[Fonctions],Overhead616[[#This Row],[Fonction]],Recettes[Frais généraux],Overhead616[[#Headers],[Frais indirectement liés à l''activité - Autres fonctions - Direction générale]])</f>
        <v>0</v>
      </c>
    </row>
    <row r="86" spans="9:37" x14ac:dyDescent="0.25">
      <c r="AA86" s="574"/>
      <c r="AB86" s="58" t="s">
        <v>427</v>
      </c>
      <c r="AC86" s="53">
        <f>SUMIFS(Recettes[Montant],Recettes[Fonctions],Overhead616[[#This Row],[Fonction]],Recettes[Frais généraux],Overhead616[[#Headers],[Frais directement liés à l''activité - Encadrement]])</f>
        <v>0</v>
      </c>
      <c r="AD86" s="53">
        <f>SUMIFS(Recettes[Montant],Recettes[Fonctions],Overhead616[[#This Row],[Fonction]],Recettes[Frais généraux],Overhead616[[#Headers],[Frais directement liés à l''activité - Logistique]])</f>
        <v>0</v>
      </c>
      <c r="AE86" s="53">
        <f>SUMIFS(Recettes[Montant],Recettes[Fonctions],Overhead616[[#This Row],[Fonction]],Recettes[Frais généraux],Overhead616[[#Headers],[Frais indirectement liés à l''activité - Prévues par la loi ]])</f>
        <v>0</v>
      </c>
      <c r="AF86" s="53">
        <f>SUMIFS(Recettes[Montant],Recettes[Fonctions],Overhead616[[#This Row],[Fonction]],Recettes[Frais généraux],Overhead616[[#Headers],[Frais indirectement liés à l''activité - Autres fonctions - Administration / Logistique]])</f>
        <v>0</v>
      </c>
      <c r="AG86" s="53">
        <f>SUMIFS(Recettes[Montant],Recettes[Fonctions],Overhead616[[#This Row],[Fonction]],Recettes[Frais généraux],Overhead616[[#Headers],[Frais indirectement liés à l''activité - Autres fonctions - Chargé(e) de direction]])</f>
        <v>0</v>
      </c>
      <c r="AH86" s="54">
        <f>SUMIFS(Recettes[Montant],Recettes[Fonctions],Overhead616[[#This Row],[Fonction]],Recettes[Frais généraux],Overhead616[[#Headers],[Frais indirectement liés à l''activité - Autres fonctions - Direction générale]])</f>
        <v>0</v>
      </c>
    </row>
    <row r="87" spans="9:37" x14ac:dyDescent="0.25">
      <c r="AA87" s="574"/>
      <c r="AB87" s="58" t="s">
        <v>428</v>
      </c>
      <c r="AC87" s="53">
        <f>SUMIFS(Recettes[Montant],Recettes[Fonctions],Overhead616[[#This Row],[Fonction]],Recettes[Frais généraux],Overhead616[[#Headers],[Frais directement liés à l''activité - Encadrement]])</f>
        <v>0</v>
      </c>
      <c r="AD87" s="53">
        <f>SUMIFS(Recettes[Montant],Recettes[Fonctions],Overhead616[[#This Row],[Fonction]],Recettes[Frais généraux],Overhead616[[#Headers],[Frais directement liés à l''activité - Logistique]])</f>
        <v>0</v>
      </c>
      <c r="AE87" s="53">
        <f>SUMIFS(Recettes[Montant],Recettes[Fonctions],Overhead616[[#This Row],[Fonction]],Recettes[Frais généraux],Overhead616[[#Headers],[Frais indirectement liés à l''activité - Prévues par la loi ]])</f>
        <v>0</v>
      </c>
      <c r="AF87" s="53">
        <f>SUMIFS(Recettes[Montant],Recettes[Fonctions],Overhead616[[#This Row],[Fonction]],Recettes[Frais généraux],Overhead616[[#Headers],[Frais indirectement liés à l''activité - Autres fonctions - Administration / Logistique]])</f>
        <v>0</v>
      </c>
      <c r="AG87" s="53">
        <f>SUMIFS(Recettes[Montant],Recettes[Fonctions],Overhead616[[#This Row],[Fonction]],Recettes[Frais généraux],Overhead616[[#Headers],[Frais indirectement liés à l''activité - Autres fonctions - Chargé(e) de direction]])</f>
        <v>0</v>
      </c>
      <c r="AH87" s="54">
        <f>SUMIFS(Recettes[Montant],Recettes[Fonctions],Overhead616[[#This Row],[Fonction]],Recettes[Frais généraux],Overhead616[[#Headers],[Frais indirectement liés à l''activité - Autres fonctions - Direction générale]])</f>
        <v>0</v>
      </c>
    </row>
    <row r="88" spans="9:37" x14ac:dyDescent="0.25">
      <c r="AA88" s="574"/>
      <c r="AB88" s="58" t="s">
        <v>429</v>
      </c>
      <c r="AC88" s="53">
        <f>SUMIFS(Recettes[Montant],Recettes[Fonctions],Overhead616[[#This Row],[Fonction]],Recettes[Frais généraux],Overhead616[[#Headers],[Frais directement liés à l''activité - Encadrement]])</f>
        <v>0</v>
      </c>
      <c r="AD88" s="53">
        <f>SUMIFS(Recettes[Montant],Recettes[Fonctions],Overhead616[[#This Row],[Fonction]],Recettes[Frais généraux],Overhead616[[#Headers],[Frais directement liés à l''activité - Logistique]])</f>
        <v>0</v>
      </c>
      <c r="AE88" s="53">
        <f>SUMIFS(Recettes[Montant],Recettes[Fonctions],Overhead616[[#This Row],[Fonction]],Recettes[Frais généraux],Overhead616[[#Headers],[Frais indirectement liés à l''activité - Prévues par la loi ]])</f>
        <v>0</v>
      </c>
      <c r="AF88" s="53">
        <f>SUMIFS(Recettes[Montant],Recettes[Fonctions],Overhead616[[#This Row],[Fonction]],Recettes[Frais généraux],Overhead616[[#Headers],[Frais indirectement liés à l''activité - Autres fonctions - Administration / Logistique]])</f>
        <v>0</v>
      </c>
      <c r="AG88" s="53">
        <f>SUMIFS(Recettes[Montant],Recettes[Fonctions],Overhead616[[#This Row],[Fonction]],Recettes[Frais généraux],Overhead616[[#Headers],[Frais indirectement liés à l''activité - Autres fonctions - Chargé(e) de direction]])</f>
        <v>0</v>
      </c>
      <c r="AH88" s="54">
        <f>SUMIFS(Recettes[Montant],Recettes[Fonctions],Overhead616[[#This Row],[Fonction]],Recettes[Frais généraux],Overhead616[[#Headers],[Frais indirectement liés à l''activité - Autres fonctions - Direction générale]])</f>
        <v>0</v>
      </c>
    </row>
    <row r="89" spans="9:37" x14ac:dyDescent="0.25">
      <c r="AA89" s="574"/>
      <c r="AB89" s="58" t="s">
        <v>115</v>
      </c>
      <c r="AC89" s="53">
        <f>SUMIFS(Recettes[Montant],Recettes[Fonctions],Overhead616[[#This Row],[Fonction]],Recettes[Frais généraux],Overhead616[[#Headers],[Frais directement liés à l''activité - Encadrement]])</f>
        <v>0</v>
      </c>
      <c r="AD89" s="53">
        <f>SUMIFS(Recettes[Montant],Recettes[Fonctions],Overhead616[[#This Row],[Fonction]],Recettes[Frais généraux],Overhead616[[#Headers],[Frais directement liés à l''activité - Logistique]])</f>
        <v>0</v>
      </c>
      <c r="AE89" s="53">
        <f>SUMIFS(Recettes[Montant],Recettes[Fonctions],Overhead616[[#This Row],[Fonction]],Recettes[Frais généraux],Overhead616[[#Headers],[Frais indirectement liés à l''activité - Prévues par la loi ]])</f>
        <v>0</v>
      </c>
      <c r="AF89" s="53">
        <f>SUMIFS(Recettes[Montant],Recettes[Fonctions],Overhead616[[#This Row],[Fonction]],Recettes[Frais généraux],Overhead616[[#Headers],[Frais indirectement liés à l''activité - Autres fonctions - Administration / Logistique]])</f>
        <v>0</v>
      </c>
      <c r="AG89" s="53">
        <f>SUMIFS(Recettes[Montant],Recettes[Fonctions],Overhead616[[#This Row],[Fonction]],Recettes[Frais généraux],Overhead616[[#Headers],[Frais indirectement liés à l''activité - Autres fonctions - Chargé(e) de direction]])</f>
        <v>0</v>
      </c>
      <c r="AH89" s="54">
        <f>SUMIFS(Recettes[Montant],Recettes[Fonctions],Overhead616[[#This Row],[Fonction]],Recettes[Frais généraux],Overhead616[[#Headers],[Frais indirectement liés à l''activité - Autres fonctions - Direction générale]])</f>
        <v>0</v>
      </c>
    </row>
    <row r="90" spans="9:37" x14ac:dyDescent="0.25">
      <c r="AA90" s="574"/>
      <c r="AB90" s="58" t="s">
        <v>116</v>
      </c>
      <c r="AC90" s="53">
        <f>SUMIFS(Recettes[Montant],Recettes[Fonctions],Overhead616[[#This Row],[Fonction]],Recettes[Frais généraux],Overhead616[[#Headers],[Frais directement liés à l''activité - Encadrement]])</f>
        <v>0</v>
      </c>
      <c r="AD90" s="53">
        <f>SUMIFS(Recettes[Montant],Recettes[Fonctions],Overhead616[[#This Row],[Fonction]],Recettes[Frais généraux],Overhead616[[#Headers],[Frais directement liés à l''activité - Logistique]])</f>
        <v>0</v>
      </c>
      <c r="AE90" s="53">
        <f>SUMIFS(Recettes[Montant],Recettes[Fonctions],Overhead616[[#This Row],[Fonction]],Recettes[Frais généraux],Overhead616[[#Headers],[Frais indirectement liés à l''activité - Prévues par la loi ]])</f>
        <v>0</v>
      </c>
      <c r="AF90" s="53">
        <f>SUMIFS(Recettes[Montant],Recettes[Fonctions],Overhead616[[#This Row],[Fonction]],Recettes[Frais généraux],Overhead616[[#Headers],[Frais indirectement liés à l''activité - Autres fonctions - Administration / Logistique]])</f>
        <v>0</v>
      </c>
      <c r="AG90" s="53">
        <f>SUMIFS(Recettes[Montant],Recettes[Fonctions],Overhead616[[#This Row],[Fonction]],Recettes[Frais généraux],Overhead616[[#Headers],[Frais indirectement liés à l''activité - Autres fonctions - Chargé(e) de direction]])</f>
        <v>0</v>
      </c>
      <c r="AH90" s="54">
        <f>SUMIFS(Recettes[Montant],Recettes[Fonctions],Overhead616[[#This Row],[Fonction]],Recettes[Frais généraux],Overhead616[[#Headers],[Frais indirectement liés à l''activité - Autres fonctions - Direction générale]])</f>
        <v>0</v>
      </c>
    </row>
    <row r="91" spans="9:37" ht="15.75" thickBot="1" x14ac:dyDescent="0.3">
      <c r="AA91" s="575"/>
      <c r="AB91" s="63" t="s">
        <v>207</v>
      </c>
      <c r="AC91" s="55">
        <f>SUMIFS(Recettes[Montant],Recettes[Fonctions],Overhead616[[#This Row],[Fonction]],Recettes[Frais généraux],Overhead616[[#Headers],[Frais directement liés à l''activité - Encadrement]])</f>
        <v>0</v>
      </c>
      <c r="AD91" s="55">
        <f>SUMIFS(Recettes[Montant],Recettes[Fonctions],Overhead616[[#This Row],[Fonction]],Recettes[Frais généraux],Overhead616[[#Headers],[Frais directement liés à l''activité - Logistique]])</f>
        <v>0</v>
      </c>
      <c r="AE91" s="55">
        <f>SUMIFS(Recettes[Montant],Recettes[Fonctions],Overhead616[[#This Row],[Fonction]],Recettes[Frais généraux],Overhead616[[#Headers],[Frais indirectement liés à l''activité - Prévues par la loi ]])</f>
        <v>0</v>
      </c>
      <c r="AF91" s="55">
        <f>SUMIFS(Recettes[Montant],Recettes[Fonctions],Overhead616[[#This Row],[Fonction]],Recettes[Frais généraux],Overhead616[[#Headers],[Frais indirectement liés à l''activité - Autres fonctions - Administration / Logistique]])</f>
        <v>0</v>
      </c>
      <c r="AG91" s="55">
        <f>SUMIFS(Recettes[Montant],Recettes[Fonctions],Overhead616[[#This Row],[Fonction]],Recettes[Frais généraux],Overhead616[[#Headers],[Frais indirectement liés à l''activité - Autres fonctions - Chargé(e) de direction]])</f>
        <v>0</v>
      </c>
      <c r="AH91" s="56">
        <f>SUMIFS(Recettes[Montant],Recettes[Fonctions],Overhead616[[#This Row],[Fonction]],Recettes[Frais généraux],Overhead616[[#Headers],[Frais indirectement liés à l''activité - Autres fonctions - Direction générale]])</f>
        <v>0</v>
      </c>
    </row>
    <row r="92" spans="9:37" x14ac:dyDescent="0.25">
      <c r="AA92" s="507"/>
      <c r="AB92" s="58" t="s">
        <v>33</v>
      </c>
      <c r="AC92" s="185">
        <f>SUBTOTAL(109,Overhead616[Frais directement liés à l''activité - Encadrement])</f>
        <v>0</v>
      </c>
      <c r="AD92" s="185">
        <f>SUBTOTAL(109,Overhead616[Frais directement liés à l''activité - Logistique])</f>
        <v>0</v>
      </c>
      <c r="AE92" s="185">
        <f>SUBTOTAL(109,Overhead616[Frais indirectement liés à l''activité - Prévues par la loi ])</f>
        <v>0</v>
      </c>
      <c r="AF92" s="185">
        <f>SUBTOTAL(109,Overhead616[Frais indirectement liés à l''activité - Autres fonctions - Administration / Logistique])</f>
        <v>0</v>
      </c>
      <c r="AG92" s="185">
        <f>SUBTOTAL(109,Overhead616[Frais indirectement liés à l''activité - Autres fonctions - Chargé(e) de direction])</f>
        <v>0</v>
      </c>
      <c r="AH92" s="185">
        <f>SUBTOTAL(109,Overhead616[Frais indirectement liés à l''activité - Autres fonctions - Direction générale])</f>
        <v>0</v>
      </c>
    </row>
    <row r="93" spans="9:37" x14ac:dyDescent="0.25">
      <c r="AA93" s="81"/>
      <c r="AB93" s="58"/>
      <c r="AC93" s="53"/>
      <c r="AD93" s="53"/>
      <c r="AE93" s="53"/>
      <c r="AF93" s="53"/>
      <c r="AG93" s="53"/>
      <c r="AH93" s="53"/>
    </row>
    <row r="94" spans="9:37" x14ac:dyDescent="0.25">
      <c r="AA94" s="81"/>
      <c r="AB94" s="58"/>
      <c r="AC94" s="53"/>
      <c r="AD94" s="53"/>
      <c r="AE94" s="53"/>
      <c r="AF94" s="53"/>
      <c r="AG94" s="53"/>
      <c r="AH94" s="53"/>
    </row>
    <row r="95" spans="9:37" x14ac:dyDescent="0.25">
      <c r="AA95" s="81"/>
      <c r="AB95" t="s">
        <v>628</v>
      </c>
      <c r="AC95" t="s">
        <v>629</v>
      </c>
      <c r="AD95" t="s">
        <v>125</v>
      </c>
      <c r="AE95" t="s">
        <v>624</v>
      </c>
      <c r="AF95" t="s">
        <v>625</v>
      </c>
      <c r="AG95" t="s">
        <v>626</v>
      </c>
      <c r="AH95" t="s">
        <v>627</v>
      </c>
      <c r="AI95" s="53"/>
      <c r="AJ95" s="53"/>
      <c r="AK95" s="53"/>
    </row>
    <row r="96" spans="9:37" x14ac:dyDescent="0.25">
      <c r="AA96" s="81"/>
      <c r="AB96" t="s">
        <v>600</v>
      </c>
      <c r="AC96" t="s">
        <v>99</v>
      </c>
      <c r="AD96" s="51">
        <f>SUMIF(Fonctionnement[Allocation],AB96,Fonctionnement[Montant])</f>
        <v>0</v>
      </c>
      <c r="AE96" s="51">
        <f>SUMIF(CCTSAS[Allocation fonctions],VariablesInternesCOVID[[#This Row],[Fonction FP]],CCTSAS[Frais heures prestées en COVID entre 8:00 et 13:00])</f>
        <v>0</v>
      </c>
      <c r="AF96" s="51">
        <f>SUMIF(CCTSAS[Allocation fonctions],VariablesInternesCOVID[[#This Row],[Fonction FP]],CCTSAS[Frais heures prestées en COVID en surplus du contrat de base en journée à partir de 13:00])</f>
        <v>0</v>
      </c>
      <c r="AG96" s="51">
        <f>SUMIF(SalCommune[Allocations fonctions],VariablesInternesCOVID[[#This Row],[Fonction FP]],SalCommune[Frais heures prestées en COVID entre 8:00 et 13:002])</f>
        <v>0</v>
      </c>
      <c r="AH96" s="51">
        <f>SUMIF(SalCommune[Allocations fonctions],VariablesInternesCOVID[[#This Row],[Fonction FP]],SalCommune[Frais heures prestées en COVID en surplus du contrat de base en journée à partir de 13:003])</f>
        <v>0</v>
      </c>
      <c r="AI96" s="53"/>
      <c r="AJ96" s="53"/>
      <c r="AK96" s="53"/>
    </row>
    <row r="97" spans="27:37" x14ac:dyDescent="0.25">
      <c r="AA97" s="81"/>
      <c r="AB97" t="s">
        <v>601</v>
      </c>
      <c r="AC97" t="s">
        <v>100</v>
      </c>
      <c r="AD97" s="51">
        <f>SUMIF(Fonctionnement[Allocation],AB97,Fonctionnement[Montant])</f>
        <v>0</v>
      </c>
      <c r="AE97" s="51">
        <f>SUMIF(CCTSAS[Allocation fonctions],VariablesInternesCOVID[[#This Row],[Fonction FP]],CCTSAS[Frais heures prestées en COVID entre 8:00 et 13:00])</f>
        <v>0</v>
      </c>
      <c r="AF97" s="51">
        <f>SUMIF(CCTSAS[Allocation fonctions],VariablesInternesCOVID[[#This Row],[Fonction FP]],CCTSAS[Frais heures prestées en COVID en surplus du contrat de base en journée à partir de 13:00])</f>
        <v>0</v>
      </c>
      <c r="AG97" s="51">
        <f>SUMIF(SalCommune[Allocations fonctions],VariablesInternesCOVID[[#This Row],[Fonction FP]],SalCommune[Frais heures prestées en COVID entre 8:00 et 13:002])</f>
        <v>0</v>
      </c>
      <c r="AH97" s="51">
        <f>SUMIF(SalCommune[Allocations fonctions],VariablesInternesCOVID[[#This Row],[Fonction FP]],SalCommune[Frais heures prestées en COVID en surplus du contrat de base en journée à partir de 13:003])</f>
        <v>0</v>
      </c>
      <c r="AI97" s="53"/>
      <c r="AJ97" s="53"/>
      <c r="AK97" s="53"/>
    </row>
    <row r="98" spans="27:37" x14ac:dyDescent="0.25">
      <c r="AA98" s="81"/>
      <c r="AB98" t="s">
        <v>602</v>
      </c>
      <c r="AC98" t="s">
        <v>101</v>
      </c>
      <c r="AD98" s="51">
        <f>SUMIF(Fonctionnement[Allocation],AB98,Fonctionnement[Montant])</f>
        <v>0</v>
      </c>
      <c r="AE98" s="51">
        <f>SUMIF(CCTSAS[Allocation fonctions],VariablesInternesCOVID[[#This Row],[Fonction FP]],CCTSAS[Frais heures prestées en COVID entre 8:00 et 13:00])</f>
        <v>0</v>
      </c>
      <c r="AF98" s="51">
        <f>SUMIF(CCTSAS[Allocation fonctions],VariablesInternesCOVID[[#This Row],[Fonction FP]],CCTSAS[Frais heures prestées en COVID en surplus du contrat de base en journée à partir de 13:00])</f>
        <v>0</v>
      </c>
      <c r="AG98" s="51">
        <f>SUMIF(SalCommune[Allocations fonctions],VariablesInternesCOVID[[#This Row],[Fonction FP]],SalCommune[Frais heures prestées en COVID entre 8:00 et 13:002])</f>
        <v>0</v>
      </c>
      <c r="AH98" s="51">
        <f>SUMIF(SalCommune[Allocations fonctions],VariablesInternesCOVID[[#This Row],[Fonction FP]],SalCommune[Frais heures prestées en COVID en surplus du contrat de base en journée à partir de 13:003])</f>
        <v>0</v>
      </c>
      <c r="AI98" s="53"/>
      <c r="AJ98" s="53"/>
      <c r="AK98" s="53"/>
    </row>
    <row r="99" spans="27:37" x14ac:dyDescent="0.25">
      <c r="AA99" s="81"/>
      <c r="AB99" t="s">
        <v>603</v>
      </c>
      <c r="AC99" t="s">
        <v>102</v>
      </c>
      <c r="AD99" s="51">
        <f>SUMIF(Fonctionnement[Allocation],AB99,Fonctionnement[Montant])</f>
        <v>0</v>
      </c>
      <c r="AE99" s="51">
        <f>SUMIF(CCTSAS[Allocation fonctions],VariablesInternesCOVID[[#This Row],[Fonction FP]],CCTSAS[Frais heures prestées en COVID entre 8:00 et 13:00])</f>
        <v>0</v>
      </c>
      <c r="AF99" s="51">
        <f>SUMIF(CCTSAS[Allocation fonctions],VariablesInternesCOVID[[#This Row],[Fonction FP]],CCTSAS[Frais heures prestées en COVID en surplus du contrat de base en journée à partir de 13:00])</f>
        <v>0</v>
      </c>
      <c r="AG99" s="51">
        <f>SUMIF(SalCommune[Allocations fonctions],VariablesInternesCOVID[[#This Row],[Fonction FP]],SalCommune[Frais heures prestées en COVID entre 8:00 et 13:002])</f>
        <v>0</v>
      </c>
      <c r="AH99" s="51">
        <f>SUMIF(SalCommune[Allocations fonctions],VariablesInternesCOVID[[#This Row],[Fonction FP]],SalCommune[Frais heures prestées en COVID en surplus du contrat de base en journée à partir de 13:003])</f>
        <v>0</v>
      </c>
      <c r="AI99" s="53"/>
      <c r="AJ99" s="53"/>
      <c r="AK99" s="53"/>
    </row>
    <row r="100" spans="27:37" x14ac:dyDescent="0.25">
      <c r="AA100" s="81"/>
      <c r="AB100" t="s">
        <v>604</v>
      </c>
      <c r="AC100" t="s">
        <v>103</v>
      </c>
      <c r="AD100" s="51">
        <f>SUMIF(Fonctionnement[Allocation],AB100,Fonctionnement[Montant])</f>
        <v>0</v>
      </c>
      <c r="AE100" s="51">
        <f>SUMIF(CCTSAS[Allocation fonctions],VariablesInternesCOVID[[#This Row],[Fonction FP]],CCTSAS[Frais heures prestées en COVID entre 8:00 et 13:00])</f>
        <v>0</v>
      </c>
      <c r="AF100" s="51">
        <f>SUMIF(CCTSAS[Allocation fonctions],VariablesInternesCOVID[[#This Row],[Fonction FP]],CCTSAS[Frais heures prestées en COVID en surplus du contrat de base en journée à partir de 13:00])</f>
        <v>0</v>
      </c>
      <c r="AG100" s="51">
        <f>SUMIF(SalCommune[Allocations fonctions],VariablesInternesCOVID[[#This Row],[Fonction FP]],SalCommune[Frais heures prestées en COVID entre 8:00 et 13:002])</f>
        <v>0</v>
      </c>
      <c r="AH100" s="51">
        <f>SUMIF(SalCommune[Allocations fonctions],VariablesInternesCOVID[[#This Row],[Fonction FP]],SalCommune[Frais heures prestées en COVID en surplus du contrat de base en journée à partir de 13:003])</f>
        <v>0</v>
      </c>
      <c r="AI100" s="53"/>
      <c r="AJ100" s="53"/>
      <c r="AK100" s="53"/>
    </row>
    <row r="101" spans="27:37" x14ac:dyDescent="0.25">
      <c r="AA101" s="81"/>
      <c r="AB101" t="s">
        <v>605</v>
      </c>
      <c r="AC101" t="s">
        <v>117</v>
      </c>
      <c r="AD101" s="51">
        <f>SUMIF(Fonctionnement[Allocation],AB101,Fonctionnement[Montant])</f>
        <v>0</v>
      </c>
      <c r="AE101" s="51">
        <f>SUMIF(CCTSAS[Allocation fonctions],VariablesInternesCOVID[[#This Row],[Fonction FP]],CCTSAS[Frais heures prestées en COVID entre 8:00 et 13:00])</f>
        <v>0</v>
      </c>
      <c r="AF101" s="51">
        <f>SUMIF(CCTSAS[Allocation fonctions],VariablesInternesCOVID[[#This Row],[Fonction FP]],CCTSAS[Frais heures prestées en COVID en surplus du contrat de base en journée à partir de 13:00])</f>
        <v>0</v>
      </c>
      <c r="AG101" s="51">
        <f>SUMIF(SalCommune[Allocations fonctions],VariablesInternesCOVID[[#This Row],[Fonction FP]],SalCommune[Frais heures prestées en COVID entre 8:00 et 13:002])</f>
        <v>0</v>
      </c>
      <c r="AH101" s="51">
        <f>SUMIF(SalCommune[Allocations fonctions],VariablesInternesCOVID[[#This Row],[Fonction FP]],SalCommune[Frais heures prestées en COVID en surplus du contrat de base en journée à partir de 13:003])</f>
        <v>0</v>
      </c>
      <c r="AI101" s="53"/>
      <c r="AJ101" s="53"/>
      <c r="AK101" s="53"/>
    </row>
    <row r="102" spans="27:37" x14ac:dyDescent="0.25">
      <c r="AA102" s="81"/>
      <c r="AB102" t="s">
        <v>606</v>
      </c>
      <c r="AC102" t="s">
        <v>104</v>
      </c>
      <c r="AD102" s="51">
        <f>SUMIF(Fonctionnement[Allocation],AB102,Fonctionnement[Montant])</f>
        <v>0</v>
      </c>
      <c r="AE102" s="51">
        <f>SUMIF(CCTSAS[Allocation fonctions],VariablesInternesCOVID[[#This Row],[Fonction FP]],CCTSAS[Frais heures prestées en COVID entre 8:00 et 13:00])</f>
        <v>0</v>
      </c>
      <c r="AF102" s="51">
        <f>SUMIF(CCTSAS[Allocation fonctions],VariablesInternesCOVID[[#This Row],[Fonction FP]],CCTSAS[Frais heures prestées en COVID en surplus du contrat de base en journée à partir de 13:00])</f>
        <v>0</v>
      </c>
      <c r="AG102" s="51">
        <f>SUMIF(SalCommune[Allocations fonctions],VariablesInternesCOVID[[#This Row],[Fonction FP]],SalCommune[Frais heures prestées en COVID entre 8:00 et 13:002])</f>
        <v>0</v>
      </c>
      <c r="AH102" s="51">
        <f>SUMIF(SalCommune[Allocations fonctions],VariablesInternesCOVID[[#This Row],[Fonction FP]],SalCommune[Frais heures prestées en COVID en surplus du contrat de base en journée à partir de 13:003])</f>
        <v>0</v>
      </c>
      <c r="AI102" s="53"/>
      <c r="AJ102" s="53"/>
      <c r="AK102" s="53"/>
    </row>
    <row r="103" spans="27:37" x14ac:dyDescent="0.25">
      <c r="AA103" s="82"/>
      <c r="AB103" t="s">
        <v>607</v>
      </c>
      <c r="AC103" t="s">
        <v>105</v>
      </c>
      <c r="AD103" s="51">
        <f>SUMIF(Fonctionnement[Allocation],AB103,Fonctionnement[Montant])</f>
        <v>0</v>
      </c>
      <c r="AE103" s="51">
        <f>SUMIF(CCTSAS[Allocation fonctions],VariablesInternesCOVID[[#This Row],[Fonction FP]],CCTSAS[Frais heures prestées en COVID entre 8:00 et 13:00])</f>
        <v>0</v>
      </c>
      <c r="AF103" s="51">
        <f>SUMIF(CCTSAS[Allocation fonctions],VariablesInternesCOVID[[#This Row],[Fonction FP]],CCTSAS[Frais heures prestées en COVID en surplus du contrat de base en journée à partir de 13:00])</f>
        <v>0</v>
      </c>
      <c r="AG103" s="51">
        <f>SUMIF(SalCommune[Allocations fonctions],VariablesInternesCOVID[[#This Row],[Fonction FP]],SalCommune[Frais heures prestées en COVID entre 8:00 et 13:002])</f>
        <v>0</v>
      </c>
      <c r="AH103" s="51">
        <f>SUMIF(SalCommune[Allocations fonctions],VariablesInternesCOVID[[#This Row],[Fonction FP]],SalCommune[Frais heures prestées en COVID en surplus du contrat de base en journée à partir de 13:003])</f>
        <v>0</v>
      </c>
      <c r="AI103" s="53"/>
      <c r="AJ103" s="53"/>
      <c r="AK103" s="53"/>
    </row>
    <row r="104" spans="27:37" x14ac:dyDescent="0.25">
      <c r="AB104" t="s">
        <v>608</v>
      </c>
      <c r="AC104" t="s">
        <v>106</v>
      </c>
      <c r="AD104" s="51">
        <f>SUMIF(Fonctionnement[Allocation],AB104,Fonctionnement[Montant])</f>
        <v>0</v>
      </c>
      <c r="AE104" s="51">
        <f>SUMIF(CCTSAS[Allocation fonctions],VariablesInternesCOVID[[#This Row],[Fonction FP]],CCTSAS[Frais heures prestées en COVID entre 8:00 et 13:00])</f>
        <v>0</v>
      </c>
      <c r="AF104" s="51">
        <f>SUMIF(CCTSAS[Allocation fonctions],VariablesInternesCOVID[[#This Row],[Fonction FP]],CCTSAS[Frais heures prestées en COVID en surplus du contrat de base en journée à partir de 13:00])</f>
        <v>0</v>
      </c>
      <c r="AG104" s="51">
        <f>SUMIF(SalCommune[Allocations fonctions],VariablesInternesCOVID[[#This Row],[Fonction FP]],SalCommune[Frais heures prestées en COVID entre 8:00 et 13:002])</f>
        <v>0</v>
      </c>
      <c r="AH104" s="51">
        <f>SUMIF(SalCommune[Allocations fonctions],VariablesInternesCOVID[[#This Row],[Fonction FP]],SalCommune[Frais heures prestées en COVID en surplus du contrat de base en journée à partir de 13:003])</f>
        <v>0</v>
      </c>
    </row>
    <row r="105" spans="27:37" x14ac:dyDescent="0.25">
      <c r="AB105" t="s">
        <v>609</v>
      </c>
      <c r="AC105" t="s">
        <v>107</v>
      </c>
      <c r="AD105" s="51">
        <f>SUMIF(Fonctionnement[Allocation],AB105,Fonctionnement[Montant])</f>
        <v>0</v>
      </c>
      <c r="AE105" s="51">
        <f>SUMIF(CCTSAS[Allocation fonctions],VariablesInternesCOVID[[#This Row],[Fonction FP]],CCTSAS[Frais heures prestées en COVID entre 8:00 et 13:00])</f>
        <v>0</v>
      </c>
      <c r="AF105" s="51">
        <f>SUMIF(CCTSAS[Allocation fonctions],VariablesInternesCOVID[[#This Row],[Fonction FP]],CCTSAS[Frais heures prestées en COVID en surplus du contrat de base en journée à partir de 13:00])</f>
        <v>0</v>
      </c>
      <c r="AG105" s="51">
        <f>SUMIF(SalCommune[Allocations fonctions],VariablesInternesCOVID[[#This Row],[Fonction FP]],SalCommune[Frais heures prestées en COVID entre 8:00 et 13:002])</f>
        <v>0</v>
      </c>
      <c r="AH105" s="51">
        <f>SUMIF(SalCommune[Allocations fonctions],VariablesInternesCOVID[[#This Row],[Fonction FP]],SalCommune[Frais heures prestées en COVID en surplus du contrat de base en journée à partir de 13:003])</f>
        <v>0</v>
      </c>
    </row>
    <row r="106" spans="27:37" x14ac:dyDescent="0.25">
      <c r="AB106" t="s">
        <v>610</v>
      </c>
      <c r="AC106" t="s">
        <v>108</v>
      </c>
      <c r="AD106" s="51">
        <f>SUMIF(Fonctionnement[Allocation],AB106,Fonctionnement[Montant])</f>
        <v>0</v>
      </c>
      <c r="AE106" s="51">
        <f>SUMIF(CCTSAS[Allocation fonctions],VariablesInternesCOVID[[#This Row],[Fonction FP]],CCTSAS[Frais heures prestées en COVID entre 8:00 et 13:00])</f>
        <v>0</v>
      </c>
      <c r="AF106" s="51">
        <f>SUMIF(CCTSAS[Allocation fonctions],VariablesInternesCOVID[[#This Row],[Fonction FP]],CCTSAS[Frais heures prestées en COVID en surplus du contrat de base en journée à partir de 13:00])</f>
        <v>0</v>
      </c>
      <c r="AG106" s="51">
        <f>SUMIF(SalCommune[Allocations fonctions],VariablesInternesCOVID[[#This Row],[Fonction FP]],SalCommune[Frais heures prestées en COVID entre 8:00 et 13:002])</f>
        <v>0</v>
      </c>
      <c r="AH106" s="51">
        <f>SUMIF(SalCommune[Allocations fonctions],VariablesInternesCOVID[[#This Row],[Fonction FP]],SalCommune[Frais heures prestées en COVID en surplus du contrat de base en journée à partir de 13:003])</f>
        <v>0</v>
      </c>
    </row>
    <row r="107" spans="27:37" x14ac:dyDescent="0.25">
      <c r="AB107" t="s">
        <v>611</v>
      </c>
      <c r="AC107" t="s">
        <v>109</v>
      </c>
      <c r="AD107" s="51">
        <f>SUMIF(Fonctionnement[Allocation],AB107,Fonctionnement[Montant])</f>
        <v>0</v>
      </c>
      <c r="AE107" s="51">
        <f>SUMIF(CCTSAS[Allocation fonctions],VariablesInternesCOVID[[#This Row],[Fonction FP]],CCTSAS[Frais heures prestées en COVID entre 8:00 et 13:00])</f>
        <v>0</v>
      </c>
      <c r="AF107" s="51">
        <f>SUMIF(CCTSAS[Allocation fonctions],VariablesInternesCOVID[[#This Row],[Fonction FP]],CCTSAS[Frais heures prestées en COVID en surplus du contrat de base en journée à partir de 13:00])</f>
        <v>0</v>
      </c>
      <c r="AG107" s="51">
        <f>SUMIF(SalCommune[Allocations fonctions],VariablesInternesCOVID[[#This Row],[Fonction FP]],SalCommune[Frais heures prestées en COVID entre 8:00 et 13:002])</f>
        <v>0</v>
      </c>
      <c r="AH107" s="51">
        <f>SUMIF(SalCommune[Allocations fonctions],VariablesInternesCOVID[[#This Row],[Fonction FP]],SalCommune[Frais heures prestées en COVID en surplus du contrat de base en journée à partir de 13:003])</f>
        <v>0</v>
      </c>
    </row>
    <row r="108" spans="27:37" x14ac:dyDescent="0.25">
      <c r="AB108" t="s">
        <v>612</v>
      </c>
      <c r="AC108" t="s">
        <v>110</v>
      </c>
      <c r="AD108" s="51">
        <f>SUMIF(Fonctionnement[Allocation],AB108,Fonctionnement[Montant])</f>
        <v>0</v>
      </c>
      <c r="AE108" s="51">
        <f>SUMIF(CCTSAS[Allocation fonctions],VariablesInternesCOVID[[#This Row],[Fonction FP]],CCTSAS[Frais heures prestées en COVID entre 8:00 et 13:00])</f>
        <v>0</v>
      </c>
      <c r="AF108" s="51">
        <f>SUMIF(CCTSAS[Allocation fonctions],VariablesInternesCOVID[[#This Row],[Fonction FP]],CCTSAS[Frais heures prestées en COVID en surplus du contrat de base en journée à partir de 13:00])</f>
        <v>0</v>
      </c>
      <c r="AG108" s="51">
        <f>SUMIF(SalCommune[Allocations fonctions],VariablesInternesCOVID[[#This Row],[Fonction FP]],SalCommune[Frais heures prestées en COVID entre 8:00 et 13:002])</f>
        <v>0</v>
      </c>
      <c r="AH108" s="51">
        <f>SUMIF(SalCommune[Allocations fonctions],VariablesInternesCOVID[[#This Row],[Fonction FP]],SalCommune[Frais heures prestées en COVID en surplus du contrat de base en journée à partir de 13:003])</f>
        <v>0</v>
      </c>
    </row>
    <row r="109" spans="27:37" x14ac:dyDescent="0.25">
      <c r="AB109" t="s">
        <v>613</v>
      </c>
      <c r="AC109" t="s">
        <v>111</v>
      </c>
      <c r="AD109" s="51">
        <f>SUMIF(Fonctionnement[Allocation],AB109,Fonctionnement[Montant])</f>
        <v>0</v>
      </c>
      <c r="AE109" s="51">
        <f>SUMIF(CCTSAS[Allocation fonctions],VariablesInternesCOVID[[#This Row],[Fonction FP]],CCTSAS[Frais heures prestées en COVID entre 8:00 et 13:00])</f>
        <v>0</v>
      </c>
      <c r="AF109" s="51">
        <f>SUMIF(CCTSAS[Allocation fonctions],VariablesInternesCOVID[[#This Row],[Fonction FP]],CCTSAS[Frais heures prestées en COVID en surplus du contrat de base en journée à partir de 13:00])</f>
        <v>0</v>
      </c>
      <c r="AG109" s="51">
        <f>SUMIF(SalCommune[Allocations fonctions],VariablesInternesCOVID[[#This Row],[Fonction FP]],SalCommune[Frais heures prestées en COVID entre 8:00 et 13:002])</f>
        <v>0</v>
      </c>
      <c r="AH109" s="51">
        <f>SUMIF(SalCommune[Allocations fonctions],VariablesInternesCOVID[[#This Row],[Fonction FP]],SalCommune[Frais heures prestées en COVID en surplus du contrat de base en journée à partir de 13:003])</f>
        <v>0</v>
      </c>
    </row>
    <row r="110" spans="27:37" x14ac:dyDescent="0.25">
      <c r="AB110" t="s">
        <v>617</v>
      </c>
      <c r="AC110" t="s">
        <v>112</v>
      </c>
      <c r="AD110" s="51">
        <f>SUMIF(Fonctionnement[Allocation],AB110,Fonctionnement[Montant])</f>
        <v>0</v>
      </c>
      <c r="AE110" s="51">
        <f>SUMIF(CCTSAS[Allocation fonctions],VariablesInternesCOVID[[#This Row],[Fonction FP]],CCTSAS[Frais heures prestées en COVID entre 8:00 et 13:00])</f>
        <v>0</v>
      </c>
      <c r="AF110" s="51">
        <f>SUMIF(CCTSAS[Allocation fonctions],VariablesInternesCOVID[[#This Row],[Fonction FP]],CCTSAS[Frais heures prestées en COVID en surplus du contrat de base en journée à partir de 13:00])</f>
        <v>0</v>
      </c>
      <c r="AG110" s="51">
        <f>SUMIF(SalCommune[Allocations fonctions],VariablesInternesCOVID[[#This Row],[Fonction FP]],SalCommune[Frais heures prestées en COVID entre 8:00 et 13:002])</f>
        <v>0</v>
      </c>
      <c r="AH110" s="51">
        <f>SUMIF(SalCommune[Allocations fonctions],VariablesInternesCOVID[[#This Row],[Fonction FP]],SalCommune[Frais heures prestées en COVID en surplus du contrat de base en journée à partir de 13:003])</f>
        <v>0</v>
      </c>
    </row>
    <row r="111" spans="27:37" x14ac:dyDescent="0.25">
      <c r="AB111" t="s">
        <v>614</v>
      </c>
      <c r="AC111" t="s">
        <v>113</v>
      </c>
      <c r="AD111" s="51">
        <f>SUMIF(Fonctionnement[Allocation],AB111,Fonctionnement[Montant])</f>
        <v>0</v>
      </c>
      <c r="AE111" s="51">
        <f>SUMIF(CCTSAS[Allocation fonctions],VariablesInternesCOVID[[#This Row],[Fonction FP]],CCTSAS[Frais heures prestées en COVID entre 8:00 et 13:00])</f>
        <v>0</v>
      </c>
      <c r="AF111" s="51">
        <f>SUMIF(CCTSAS[Allocation fonctions],VariablesInternesCOVID[[#This Row],[Fonction FP]],CCTSAS[Frais heures prestées en COVID en surplus du contrat de base en journée à partir de 13:00])</f>
        <v>0</v>
      </c>
      <c r="AG111" s="51">
        <f>SUMIF(SalCommune[Allocations fonctions],VariablesInternesCOVID[[#This Row],[Fonction FP]],SalCommune[Frais heures prestées en COVID entre 8:00 et 13:002])</f>
        <v>0</v>
      </c>
      <c r="AH111" s="51">
        <f>SUMIF(SalCommune[Allocations fonctions],VariablesInternesCOVID[[#This Row],[Fonction FP]],SalCommune[Frais heures prestées en COVID en surplus du contrat de base en journée à partir de 13:003])</f>
        <v>0</v>
      </c>
    </row>
    <row r="112" spans="27:37" x14ac:dyDescent="0.25">
      <c r="AB112" t="s">
        <v>618</v>
      </c>
      <c r="AC112" t="s">
        <v>114</v>
      </c>
      <c r="AD112" s="51">
        <f>SUMIF(Fonctionnement[Allocation],AB112,Fonctionnement[Montant])</f>
        <v>0</v>
      </c>
      <c r="AE112" s="51">
        <f>SUMIF(CCTSAS[Allocation fonctions],VariablesInternesCOVID[[#This Row],[Fonction FP]],CCTSAS[Frais heures prestées en COVID entre 8:00 et 13:00])</f>
        <v>0</v>
      </c>
      <c r="AF112" s="51">
        <f>SUMIF(CCTSAS[Allocation fonctions],VariablesInternesCOVID[[#This Row],[Fonction FP]],CCTSAS[Frais heures prestées en COVID en surplus du contrat de base en journée à partir de 13:00])</f>
        <v>0</v>
      </c>
      <c r="AG112" s="51">
        <f>SUMIF(SalCommune[Allocations fonctions],VariablesInternesCOVID[[#This Row],[Fonction FP]],SalCommune[Frais heures prestées en COVID entre 8:00 et 13:002])</f>
        <v>0</v>
      </c>
      <c r="AH112" s="51">
        <f>SUMIF(SalCommune[Allocations fonctions],VariablesInternesCOVID[[#This Row],[Fonction FP]],SalCommune[Frais heures prestées en COVID en surplus du contrat de base en journée à partir de 13:003])</f>
        <v>0</v>
      </c>
    </row>
    <row r="113" spans="28:34" x14ac:dyDescent="0.25">
      <c r="AB113" t="s">
        <v>615</v>
      </c>
      <c r="AC113" t="s">
        <v>115</v>
      </c>
      <c r="AD113" s="51">
        <f>SUMIF(Fonctionnement[Allocation],AB113,Fonctionnement[Montant])</f>
        <v>0</v>
      </c>
      <c r="AE113" s="51">
        <f>SUMIF(CCTSAS[Allocation fonctions],VariablesInternesCOVID[[#This Row],[Fonction FP]],CCTSAS[Frais heures prestées en COVID entre 8:00 et 13:00])</f>
        <v>0</v>
      </c>
      <c r="AF113" s="51">
        <f>SUMIF(CCTSAS[Allocation fonctions],VariablesInternesCOVID[[#This Row],[Fonction FP]],CCTSAS[Frais heures prestées en COVID en surplus du contrat de base en journée à partir de 13:00])</f>
        <v>0</v>
      </c>
      <c r="AG113" s="51">
        <f>SUMIF(SalCommune[Allocations fonctions],VariablesInternesCOVID[[#This Row],[Fonction FP]],SalCommune[Frais heures prestées en COVID entre 8:00 et 13:002])</f>
        <v>0</v>
      </c>
      <c r="AH113" s="51">
        <f>SUMIF(SalCommune[Allocations fonctions],VariablesInternesCOVID[[#This Row],[Fonction FP]],SalCommune[Frais heures prestées en COVID en surplus du contrat de base en journée à partir de 13:003])</f>
        <v>0</v>
      </c>
    </row>
    <row r="114" spans="28:34" x14ac:dyDescent="0.25">
      <c r="AB114" t="s">
        <v>616</v>
      </c>
      <c r="AC114" t="s">
        <v>116</v>
      </c>
      <c r="AD114" s="51">
        <f>SUMIF(Fonctionnement[Allocation],AB114,Fonctionnement[Montant])</f>
        <v>0</v>
      </c>
      <c r="AE114" s="51">
        <f>SUMIF(CCTSAS[Allocation fonctions],VariablesInternesCOVID[[#This Row],[Fonction FP]],CCTSAS[Frais heures prestées en COVID entre 8:00 et 13:00])</f>
        <v>0</v>
      </c>
      <c r="AF114" s="51">
        <f>SUMIF(CCTSAS[Allocation fonctions],VariablesInternesCOVID[[#This Row],[Fonction FP]],CCTSAS[Frais heures prestées en COVID en surplus du contrat de base en journée à partir de 13:00])</f>
        <v>0</v>
      </c>
      <c r="AG114" s="51">
        <f>SUMIF(SalCommune[Allocations fonctions],VariablesInternesCOVID[[#This Row],[Fonction FP]],SalCommune[Frais heures prestées en COVID entre 8:00 et 13:002])</f>
        <v>0</v>
      </c>
      <c r="AH114" s="51">
        <f>SUMIF(SalCommune[Allocations fonctions],VariablesInternesCOVID[[#This Row],[Fonction FP]],SalCommune[Frais heures prestées en COVID en surplus du contrat de base en journée à partir de 13:003])</f>
        <v>0</v>
      </c>
    </row>
    <row r="115" spans="28:34" x14ac:dyDescent="0.25">
      <c r="AB115" t="s">
        <v>33</v>
      </c>
      <c r="AD115" s="78">
        <f>SUBTOTAL(109,VariablesInternesCOVID[FF])</f>
        <v>0</v>
      </c>
      <c r="AE115" s="78">
        <f>SUBTOTAL(109,VariablesInternesCOVID[FP SAS groupe A])</f>
        <v>0</v>
      </c>
      <c r="AF115" s="78">
        <f>SUBTOTAL(109,VariablesInternesCOVID[FP SAS groupe B])</f>
        <v>0</v>
      </c>
      <c r="AG115" s="78">
        <f>SUBTOTAL(109,VariablesInternesCOVID[FP Commune groupe A])</f>
        <v>0</v>
      </c>
      <c r="AH115" s="495"/>
    </row>
  </sheetData>
  <sortState ref="D2:D9">
    <sortCondition ref="D1"/>
  </sortState>
  <mergeCells count="4">
    <mergeCell ref="AA84:AA91"/>
    <mergeCell ref="AA27:AA45"/>
    <mergeCell ref="AA46:AA64"/>
    <mergeCell ref="AA65:AA83"/>
  </mergeCells>
  <pageMargins left="0.7" right="0.7" top="0.75" bottom="0.75" header="0.3" footer="0.3"/>
  <pageSetup paperSize="9" orientation="portrait" r:id="rId1"/>
  <tableParts count="5">
    <tablePart r:id="rId2"/>
    <tablePart r:id="rId3"/>
    <tablePart r:id="rId4"/>
    <tablePart r:id="rId5"/>
    <tablePart r:id="rId6"/>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L131"/>
  <sheetViews>
    <sheetView workbookViewId="0">
      <selection activeCell="C20" sqref="C20"/>
    </sheetView>
  </sheetViews>
  <sheetFormatPr defaultColWidth="9.140625" defaultRowHeight="15" x14ac:dyDescent="0.25"/>
  <cols>
    <col min="1" max="1" width="9.140625" style="25"/>
    <col min="2" max="2" width="130.85546875" style="25" bestFit="1" customWidth="1"/>
    <col min="3" max="3" width="20.5703125" style="25" customWidth="1"/>
    <col min="4" max="4" width="13" style="25" customWidth="1"/>
    <col min="5" max="5" width="8.140625" style="25" bestFit="1" customWidth="1"/>
    <col min="6" max="6" width="14" style="25" customWidth="1"/>
    <col min="7" max="7" width="16" style="25" customWidth="1"/>
    <col min="8" max="8" width="22.7109375" style="25" bestFit="1" customWidth="1"/>
    <col min="9" max="9" width="14" style="25" customWidth="1"/>
    <col min="10" max="10" width="18.42578125" style="25" bestFit="1" customWidth="1"/>
    <col min="11" max="11" width="15" style="25" customWidth="1"/>
    <col min="12" max="12" width="23" style="25" customWidth="1"/>
    <col min="13" max="16384" width="9.140625" style="25"/>
  </cols>
  <sheetData>
    <row r="1" spans="2:12" x14ac:dyDescent="0.25">
      <c r="B1" s="11" t="str">
        <f>'Informations générales 1'!B7</f>
        <v>DECOMPTE ANNUEL</v>
      </c>
    </row>
    <row r="2" spans="2:12" x14ac:dyDescent="0.25">
      <c r="B2" s="11" t="str">
        <f>'Informations générales 1'!C20&amp;" - "&amp;'Informations générales 1'!C24</f>
        <v>Nom Gestionnaire - Nom SEA</v>
      </c>
    </row>
    <row r="3" spans="2:12" x14ac:dyDescent="0.25">
      <c r="B3" s="20">
        <f>'Informations générales 1'!C10</f>
        <v>2020</v>
      </c>
    </row>
    <row r="5" spans="2:12" x14ac:dyDescent="0.25">
      <c r="B5" s="26" t="s">
        <v>553</v>
      </c>
    </row>
    <row r="7" spans="2:12" x14ac:dyDescent="0.25">
      <c r="B7" s="25" t="s">
        <v>554</v>
      </c>
      <c r="C7" s="199">
        <f>REVEX!E9</f>
        <v>0</v>
      </c>
    </row>
    <row r="9" spans="2:12" x14ac:dyDescent="0.25">
      <c r="C9" s="205" t="s">
        <v>555</v>
      </c>
      <c r="D9" s="206"/>
    </row>
    <row r="10" spans="2:12" x14ac:dyDescent="0.25">
      <c r="C10" s="207" t="s">
        <v>556</v>
      </c>
      <c r="D10" s="208">
        <f>'SALAIRES CCT SAS'!K4</f>
        <v>0</v>
      </c>
    </row>
    <row r="11" spans="2:12" x14ac:dyDescent="0.25">
      <c r="C11" s="209" t="s">
        <v>557</v>
      </c>
      <c r="D11" s="210">
        <f>'SALAIRES COMMUNE'!M4</f>
        <v>0</v>
      </c>
    </row>
    <row r="12" spans="2:12" x14ac:dyDescent="0.25">
      <c r="B12" s="213" t="str">
        <f>IF(D12=D15,"Toutes les carrières ont été intégrées", "Problème d'allocation des carrières")</f>
        <v>Toutes les carrières ont été intégrées</v>
      </c>
      <c r="C12" s="211"/>
      <c r="D12" s="212">
        <f>SUM(D10:D11)</f>
        <v>0</v>
      </c>
    </row>
    <row r="14" spans="2:12" x14ac:dyDescent="0.25">
      <c r="C14"/>
      <c r="D14" s="576" t="s">
        <v>562</v>
      </c>
      <c r="E14" s="577"/>
      <c r="F14" s="577"/>
      <c r="G14" s="578"/>
      <c r="I14" s="220"/>
      <c r="J14" s="221" t="s">
        <v>565</v>
      </c>
      <c r="K14" s="222"/>
      <c r="L14" s="223"/>
    </row>
    <row r="15" spans="2:12" x14ac:dyDescent="0.25">
      <c r="C15" s="214" t="s">
        <v>563</v>
      </c>
      <c r="D15" s="215">
        <f>SUM(D18:D131)</f>
        <v>0</v>
      </c>
      <c r="E15" s="216" t="e">
        <f>SUM(E18:E131)</f>
        <v>#DIV/0!</v>
      </c>
      <c r="F15" s="215">
        <f>SUM(F18:F131)</f>
        <v>0</v>
      </c>
      <c r="G15" s="215">
        <f>SUM(G18:G131)</f>
        <v>0</v>
      </c>
      <c r="I15" s="215">
        <f>SUM(I18:I131)</f>
        <v>0</v>
      </c>
      <c r="J15" s="224" t="e">
        <f>SUM(J18:J131)</f>
        <v>#DIV/0!</v>
      </c>
      <c r="K15" s="215">
        <f>SUM(K18:K131)</f>
        <v>0</v>
      </c>
      <c r="L15" s="225"/>
    </row>
    <row r="16" spans="2:12" x14ac:dyDescent="0.25">
      <c r="C16" s="217" t="s">
        <v>564</v>
      </c>
      <c r="D16" s="218">
        <f>SUBTOTAL(9,D18:D131)</f>
        <v>0</v>
      </c>
      <c r="E16" s="219" t="e">
        <f>SUBTOTAL(9,E18:E131)</f>
        <v>#DIV/0!</v>
      </c>
      <c r="F16" s="218">
        <f>SUBTOTAL(9,F18:F131)</f>
        <v>0</v>
      </c>
      <c r="G16" s="218">
        <f>SUBTOTAL(9,G18:G131)</f>
        <v>0</v>
      </c>
      <c r="I16" s="218">
        <f>SUBTOTAL(9,I18:I131)</f>
        <v>0</v>
      </c>
      <c r="J16" s="226" t="e">
        <f>SUBTOTAL(9,J18:J131)</f>
        <v>#DIV/0!</v>
      </c>
      <c r="K16" s="218">
        <f>SUBTOTAL(9,K18:K131)</f>
        <v>0</v>
      </c>
      <c r="L16" s="227"/>
    </row>
    <row r="17" spans="2:12" x14ac:dyDescent="0.25">
      <c r="B17" s="24" t="s">
        <v>130</v>
      </c>
      <c r="C17" s="24" t="s">
        <v>558</v>
      </c>
      <c r="D17" s="24" t="s">
        <v>559</v>
      </c>
      <c r="E17" s="24" t="s">
        <v>500</v>
      </c>
      <c r="F17" s="24" t="s">
        <v>560</v>
      </c>
      <c r="G17" s="24" t="s">
        <v>561</v>
      </c>
      <c r="H17" s="24" t="s">
        <v>568</v>
      </c>
      <c r="I17" s="228" t="s">
        <v>569</v>
      </c>
      <c r="J17" s="229" t="s">
        <v>570</v>
      </c>
      <c r="K17" s="228" t="s">
        <v>571</v>
      </c>
      <c r="L17" s="230" t="s">
        <v>566</v>
      </c>
    </row>
    <row r="18" spans="2:12" x14ac:dyDescent="0.25">
      <c r="B18" s="24" t="s">
        <v>149</v>
      </c>
      <c r="C18" s="24" t="s">
        <v>567</v>
      </c>
      <c r="D18" s="231">
        <f>SUMIF(CCTSAS[Carrière],ETPRECAP[[#This Row],[Carrière]],CCTSAS[heures annuelles
selon contrat(s)])</f>
        <v>0</v>
      </c>
      <c r="E18" s="232" t="e">
        <f>ETPRECAP[[#This Row],[Heures ETP]]/$D$15</f>
        <v>#DIV/0!</v>
      </c>
      <c r="F18" s="231">
        <f>ETPRECAP[[#This Row],[Heures ETP]]/RTT!$E$7</f>
        <v>0</v>
      </c>
      <c r="G18" s="231">
        <f>COUNTIF(CCTSAS[Carrière],ETPRECAP[[#This Row],[Carrière]])</f>
        <v>0</v>
      </c>
      <c r="H18" s="231">
        <f>IF(ETPRECAP[[#This Row],[Nombre empl.]]=0,0,SUMIF(CCTSAS[Carrière],ETPRECAP[[#This Row],[Carrière]],CCTSAS[Années])/ETPRECAP[[#This Row],[Nombre empl.]])</f>
        <v>0</v>
      </c>
      <c r="I18" s="231">
        <f>SUMIFS(CCTSAS[heures annuelles
selon contrat(s)],CCTSAS[Allocation fonctions],"Encadrement",CCTSAS[Carrière],ETPRECAP[[#This Row],[Carrière]])</f>
        <v>0</v>
      </c>
      <c r="J18" s="232" t="e">
        <f>ETPRECAP[[#This Row],[Heures ETP Encadrement]]/$I$15</f>
        <v>#DIV/0!</v>
      </c>
      <c r="K18" s="231">
        <f>ETPRECAP[[#This Row],[Heures ETP Encadrement]]/RTT!$E$7</f>
        <v>0</v>
      </c>
      <c r="L18" s="24"/>
    </row>
    <row r="19" spans="2:12" x14ac:dyDescent="0.25">
      <c r="B19" s="24" t="s">
        <v>151</v>
      </c>
      <c r="C19" s="24" t="s">
        <v>567</v>
      </c>
      <c r="D19" s="231">
        <f>SUMIF(CCTSAS[Carrière],ETPRECAP[[#This Row],[Carrière]],CCTSAS[heures annuelles
selon contrat(s)])</f>
        <v>0</v>
      </c>
      <c r="E19" s="232" t="e">
        <f>ETPRECAP[[#This Row],[Heures ETP]]/$D$15</f>
        <v>#DIV/0!</v>
      </c>
      <c r="F19" s="231">
        <f>ETPRECAP[[#This Row],[Heures ETP]]/RTT!$E$7</f>
        <v>0</v>
      </c>
      <c r="G19" s="231">
        <f>COUNTIF(CCTSAS[Carrière],ETPRECAP[[#This Row],[Carrière]])</f>
        <v>0</v>
      </c>
      <c r="H19" s="231">
        <f>IF(ETPRECAP[[#This Row],[Nombre empl.]]=0,0,SUMIF(CCTSAS[Carrière],ETPRECAP[[#This Row],[Carrière]],CCTSAS[Années])/ETPRECAP[[#This Row],[Nombre empl.]])</f>
        <v>0</v>
      </c>
      <c r="I19" s="231">
        <f>SUMIFS(CCTSAS[heures annuelles
selon contrat(s)],CCTSAS[Allocation fonctions],"Encadrement",CCTSAS[Carrière],ETPRECAP[[#This Row],[Carrière]])</f>
        <v>0</v>
      </c>
      <c r="J19" s="232" t="e">
        <f>ETPRECAP[[#This Row],[Heures ETP Encadrement]]/$I$15</f>
        <v>#DIV/0!</v>
      </c>
      <c r="K19" s="231">
        <f>ETPRECAP[[#This Row],[Heures ETP Encadrement]]/RTT!$E$7</f>
        <v>0</v>
      </c>
      <c r="L19" s="24"/>
    </row>
    <row r="20" spans="2:12" x14ac:dyDescent="0.25">
      <c r="B20" s="24" t="s">
        <v>153</v>
      </c>
      <c r="C20" s="24" t="s">
        <v>567</v>
      </c>
      <c r="D20" s="231">
        <f>SUMIF(CCTSAS[Carrière],ETPRECAP[[#This Row],[Carrière]],CCTSAS[heures annuelles
selon contrat(s)])</f>
        <v>0</v>
      </c>
      <c r="E20" s="232" t="e">
        <f>ETPRECAP[[#This Row],[Heures ETP]]/$D$15</f>
        <v>#DIV/0!</v>
      </c>
      <c r="F20" s="231">
        <f>ETPRECAP[[#This Row],[Heures ETP]]/RTT!$E$7</f>
        <v>0</v>
      </c>
      <c r="G20" s="231">
        <f>COUNTIF(CCTSAS[Carrière],ETPRECAP[[#This Row],[Carrière]])</f>
        <v>0</v>
      </c>
      <c r="H20" s="231">
        <f>IF(ETPRECAP[[#This Row],[Nombre empl.]]=0,0,SUMIF(CCTSAS[Carrière],ETPRECAP[[#This Row],[Carrière]],CCTSAS[Années])/ETPRECAP[[#This Row],[Nombre empl.]])</f>
        <v>0</v>
      </c>
      <c r="I20" s="231">
        <f>SUMIFS(CCTSAS[heures annuelles
selon contrat(s)],CCTSAS[Allocation fonctions],"Encadrement",CCTSAS[Carrière],ETPRECAP[[#This Row],[Carrière]])</f>
        <v>0</v>
      </c>
      <c r="J20" s="232" t="e">
        <f>ETPRECAP[[#This Row],[Heures ETP Encadrement]]/$I$15</f>
        <v>#DIV/0!</v>
      </c>
      <c r="K20" s="231">
        <f>ETPRECAP[[#This Row],[Heures ETP Encadrement]]/RTT!$E$7</f>
        <v>0</v>
      </c>
      <c r="L20" s="24"/>
    </row>
    <row r="21" spans="2:12" x14ac:dyDescent="0.25">
      <c r="B21" s="24" t="s">
        <v>155</v>
      </c>
      <c r="C21" s="24" t="s">
        <v>567</v>
      </c>
      <c r="D21" s="231">
        <f>SUMIF(CCTSAS[Carrière],ETPRECAP[[#This Row],[Carrière]],CCTSAS[heures annuelles
selon contrat(s)])</f>
        <v>0</v>
      </c>
      <c r="E21" s="232" t="e">
        <f>ETPRECAP[[#This Row],[Heures ETP]]/$D$15</f>
        <v>#DIV/0!</v>
      </c>
      <c r="F21" s="231">
        <f>ETPRECAP[[#This Row],[Heures ETP]]/RTT!$E$7</f>
        <v>0</v>
      </c>
      <c r="G21" s="231">
        <f>COUNTIF(CCTSAS[Carrière],ETPRECAP[[#This Row],[Carrière]])</f>
        <v>0</v>
      </c>
      <c r="H21" s="231">
        <f>IF(ETPRECAP[[#This Row],[Nombre empl.]]=0,0,SUMIF(CCTSAS[Carrière],ETPRECAP[[#This Row],[Carrière]],CCTSAS[Années])/ETPRECAP[[#This Row],[Nombre empl.]])</f>
        <v>0</v>
      </c>
      <c r="I21" s="231">
        <f>SUMIFS(CCTSAS[heures annuelles
selon contrat(s)],CCTSAS[Allocation fonctions],"Encadrement",CCTSAS[Carrière],ETPRECAP[[#This Row],[Carrière]])</f>
        <v>0</v>
      </c>
      <c r="J21" s="232" t="e">
        <f>ETPRECAP[[#This Row],[Heures ETP Encadrement]]/$I$15</f>
        <v>#DIV/0!</v>
      </c>
      <c r="K21" s="231">
        <f>ETPRECAP[[#This Row],[Heures ETP Encadrement]]/RTT!$E$7</f>
        <v>0</v>
      </c>
      <c r="L21" s="24"/>
    </row>
    <row r="22" spans="2:12" x14ac:dyDescent="0.25">
      <c r="B22" s="24" t="s">
        <v>157</v>
      </c>
      <c r="C22" s="24" t="s">
        <v>567</v>
      </c>
      <c r="D22" s="231">
        <f>SUMIF(CCTSAS[Carrière],ETPRECAP[[#This Row],[Carrière]],CCTSAS[heures annuelles
selon contrat(s)])</f>
        <v>0</v>
      </c>
      <c r="E22" s="232" t="e">
        <f>ETPRECAP[[#This Row],[Heures ETP]]/$D$15</f>
        <v>#DIV/0!</v>
      </c>
      <c r="F22" s="231">
        <f>ETPRECAP[[#This Row],[Heures ETP]]/RTT!$E$7</f>
        <v>0</v>
      </c>
      <c r="G22" s="231">
        <f>COUNTIF(CCTSAS[Carrière],ETPRECAP[[#This Row],[Carrière]])</f>
        <v>0</v>
      </c>
      <c r="H22" s="231">
        <f>IF(ETPRECAP[[#This Row],[Nombre empl.]]=0,0,SUMIF(CCTSAS[Carrière],ETPRECAP[[#This Row],[Carrière]],CCTSAS[Années])/ETPRECAP[[#This Row],[Nombre empl.]])</f>
        <v>0</v>
      </c>
      <c r="I22" s="231">
        <f>SUMIFS(CCTSAS[heures annuelles
selon contrat(s)],CCTSAS[Allocation fonctions],"Encadrement",CCTSAS[Carrière],ETPRECAP[[#This Row],[Carrière]])</f>
        <v>0</v>
      </c>
      <c r="J22" s="232" t="e">
        <f>ETPRECAP[[#This Row],[Heures ETP Encadrement]]/$I$15</f>
        <v>#DIV/0!</v>
      </c>
      <c r="K22" s="231">
        <f>ETPRECAP[[#This Row],[Heures ETP Encadrement]]/RTT!$E$7</f>
        <v>0</v>
      </c>
      <c r="L22" s="24"/>
    </row>
    <row r="23" spans="2:12" x14ac:dyDescent="0.25">
      <c r="B23" s="24" t="s">
        <v>160</v>
      </c>
      <c r="C23" s="24" t="s">
        <v>567</v>
      </c>
      <c r="D23" s="231">
        <f>SUMIF(CCTSAS[Carrière],ETPRECAP[[#This Row],[Carrière]],CCTSAS[heures annuelles
selon contrat(s)])</f>
        <v>0</v>
      </c>
      <c r="E23" s="232" t="e">
        <f>ETPRECAP[[#This Row],[Heures ETP]]/$D$15</f>
        <v>#DIV/0!</v>
      </c>
      <c r="F23" s="231">
        <f>ETPRECAP[[#This Row],[Heures ETP]]/RTT!$E$7</f>
        <v>0</v>
      </c>
      <c r="G23" s="231">
        <f>COUNTIF(CCTSAS[Carrière],ETPRECAP[[#This Row],[Carrière]])</f>
        <v>0</v>
      </c>
      <c r="H23" s="231">
        <f>IF(ETPRECAP[[#This Row],[Nombre empl.]]=0,0,SUMIF(CCTSAS[Carrière],ETPRECAP[[#This Row],[Carrière]],CCTSAS[Années])/ETPRECAP[[#This Row],[Nombre empl.]])</f>
        <v>0</v>
      </c>
      <c r="I23" s="231">
        <f>SUMIFS(CCTSAS[heures annuelles
selon contrat(s)],CCTSAS[Allocation fonctions],"Encadrement",CCTSAS[Carrière],ETPRECAP[[#This Row],[Carrière]])</f>
        <v>0</v>
      </c>
      <c r="J23" s="232" t="e">
        <f>ETPRECAP[[#This Row],[Heures ETP Encadrement]]/$I$15</f>
        <v>#DIV/0!</v>
      </c>
      <c r="K23" s="231">
        <f>ETPRECAP[[#This Row],[Heures ETP Encadrement]]/RTT!$E$7</f>
        <v>0</v>
      </c>
      <c r="L23" s="24"/>
    </row>
    <row r="24" spans="2:12" x14ac:dyDescent="0.25">
      <c r="B24" s="24" t="s">
        <v>162</v>
      </c>
      <c r="C24" s="24" t="s">
        <v>567</v>
      </c>
      <c r="D24" s="231">
        <f>SUMIF(CCTSAS[Carrière],ETPRECAP[[#This Row],[Carrière]],CCTSAS[heures annuelles
selon contrat(s)])</f>
        <v>0</v>
      </c>
      <c r="E24" s="232" t="e">
        <f>ETPRECAP[[#This Row],[Heures ETP]]/$D$15</f>
        <v>#DIV/0!</v>
      </c>
      <c r="F24" s="231">
        <f>ETPRECAP[[#This Row],[Heures ETP]]/RTT!$E$7</f>
        <v>0</v>
      </c>
      <c r="G24" s="231">
        <f>COUNTIF(CCTSAS[Carrière],ETPRECAP[[#This Row],[Carrière]])</f>
        <v>0</v>
      </c>
      <c r="H24" s="231">
        <f>IF(ETPRECAP[[#This Row],[Nombre empl.]]=0,0,SUMIF(CCTSAS[Carrière],ETPRECAP[[#This Row],[Carrière]],CCTSAS[Années])/ETPRECAP[[#This Row],[Nombre empl.]])</f>
        <v>0</v>
      </c>
      <c r="I24" s="231">
        <f>SUMIFS(CCTSAS[heures annuelles
selon contrat(s)],CCTSAS[Allocation fonctions],"Encadrement",CCTSAS[Carrière],ETPRECAP[[#This Row],[Carrière]])</f>
        <v>0</v>
      </c>
      <c r="J24" s="232" t="e">
        <f>ETPRECAP[[#This Row],[Heures ETP Encadrement]]/$I$15</f>
        <v>#DIV/0!</v>
      </c>
      <c r="K24" s="231">
        <f>ETPRECAP[[#This Row],[Heures ETP Encadrement]]/RTT!$E$7</f>
        <v>0</v>
      </c>
      <c r="L24" s="24"/>
    </row>
    <row r="25" spans="2:12" x14ac:dyDescent="0.25">
      <c r="B25" s="24" t="s">
        <v>163</v>
      </c>
      <c r="C25" s="24" t="s">
        <v>567</v>
      </c>
      <c r="D25" s="231">
        <f>SUMIF(CCTSAS[Carrière],ETPRECAP[[#This Row],[Carrière]],CCTSAS[heures annuelles
selon contrat(s)])</f>
        <v>0</v>
      </c>
      <c r="E25" s="232" t="e">
        <f>ETPRECAP[[#This Row],[Heures ETP]]/$D$15</f>
        <v>#DIV/0!</v>
      </c>
      <c r="F25" s="231">
        <f>ETPRECAP[[#This Row],[Heures ETP]]/RTT!$E$7</f>
        <v>0</v>
      </c>
      <c r="G25" s="231">
        <f>COUNTIF(CCTSAS[Carrière],ETPRECAP[[#This Row],[Carrière]])</f>
        <v>0</v>
      </c>
      <c r="H25" s="231">
        <f>IF(ETPRECAP[[#This Row],[Nombre empl.]]=0,0,SUMIF(CCTSAS[Carrière],ETPRECAP[[#This Row],[Carrière]],CCTSAS[Années])/ETPRECAP[[#This Row],[Nombre empl.]])</f>
        <v>0</v>
      </c>
      <c r="I25" s="231">
        <f>SUMIFS(CCTSAS[heures annuelles
selon contrat(s)],CCTSAS[Allocation fonctions],"Encadrement",CCTSAS[Carrière],ETPRECAP[[#This Row],[Carrière]])</f>
        <v>0</v>
      </c>
      <c r="J25" s="232" t="e">
        <f>ETPRECAP[[#This Row],[Heures ETP Encadrement]]/$I$15</f>
        <v>#DIV/0!</v>
      </c>
      <c r="K25" s="231">
        <f>ETPRECAP[[#This Row],[Heures ETP Encadrement]]/RTT!$E$7</f>
        <v>0</v>
      </c>
      <c r="L25" s="24"/>
    </row>
    <row r="26" spans="2:12" x14ac:dyDescent="0.25">
      <c r="B26" s="24" t="s">
        <v>165</v>
      </c>
      <c r="C26" s="24" t="s">
        <v>567</v>
      </c>
      <c r="D26" s="231">
        <f>SUMIF(CCTSAS[Carrière],ETPRECAP[[#This Row],[Carrière]],CCTSAS[heures annuelles
selon contrat(s)])</f>
        <v>0</v>
      </c>
      <c r="E26" s="232" t="e">
        <f>ETPRECAP[[#This Row],[Heures ETP]]/$D$15</f>
        <v>#DIV/0!</v>
      </c>
      <c r="F26" s="231">
        <f>ETPRECAP[[#This Row],[Heures ETP]]/RTT!$E$7</f>
        <v>0</v>
      </c>
      <c r="G26" s="231">
        <f>COUNTIF(CCTSAS[Carrière],ETPRECAP[[#This Row],[Carrière]])</f>
        <v>0</v>
      </c>
      <c r="H26" s="231">
        <f>IF(ETPRECAP[[#This Row],[Nombre empl.]]=0,0,SUMIF(CCTSAS[Carrière],ETPRECAP[[#This Row],[Carrière]],CCTSAS[Années])/ETPRECAP[[#This Row],[Nombre empl.]])</f>
        <v>0</v>
      </c>
      <c r="I26" s="231">
        <f>SUMIFS(CCTSAS[heures annuelles
selon contrat(s)],CCTSAS[Allocation fonctions],"Encadrement",CCTSAS[Carrière],ETPRECAP[[#This Row],[Carrière]])</f>
        <v>0</v>
      </c>
      <c r="J26" s="232" t="e">
        <f>ETPRECAP[[#This Row],[Heures ETP Encadrement]]/$I$15</f>
        <v>#DIV/0!</v>
      </c>
      <c r="K26" s="231">
        <f>ETPRECAP[[#This Row],[Heures ETP Encadrement]]/RTT!$E$7</f>
        <v>0</v>
      </c>
      <c r="L26" s="24"/>
    </row>
    <row r="27" spans="2:12" x14ac:dyDescent="0.25">
      <c r="B27" s="24" t="s">
        <v>166</v>
      </c>
      <c r="C27" s="24" t="s">
        <v>567</v>
      </c>
      <c r="D27" s="231">
        <f>SUMIF(CCTSAS[Carrière],ETPRECAP[[#This Row],[Carrière]],CCTSAS[heures annuelles
selon contrat(s)])</f>
        <v>0</v>
      </c>
      <c r="E27" s="232" t="e">
        <f>ETPRECAP[[#This Row],[Heures ETP]]/$D$15</f>
        <v>#DIV/0!</v>
      </c>
      <c r="F27" s="231">
        <f>ETPRECAP[[#This Row],[Heures ETP]]/RTT!$E$7</f>
        <v>0</v>
      </c>
      <c r="G27" s="231">
        <f>COUNTIF(CCTSAS[Carrière],ETPRECAP[[#This Row],[Carrière]])</f>
        <v>0</v>
      </c>
      <c r="H27" s="231">
        <f>IF(ETPRECAP[[#This Row],[Nombre empl.]]=0,0,SUMIF(CCTSAS[Carrière],ETPRECAP[[#This Row],[Carrière]],CCTSAS[Années])/ETPRECAP[[#This Row],[Nombre empl.]])</f>
        <v>0</v>
      </c>
      <c r="I27" s="231">
        <f>SUMIFS(CCTSAS[heures annuelles
selon contrat(s)],CCTSAS[Allocation fonctions],"Encadrement",CCTSAS[Carrière],ETPRECAP[[#This Row],[Carrière]])</f>
        <v>0</v>
      </c>
      <c r="J27" s="232" t="e">
        <f>ETPRECAP[[#This Row],[Heures ETP Encadrement]]/$I$15</f>
        <v>#DIV/0!</v>
      </c>
      <c r="K27" s="231">
        <f>ETPRECAP[[#This Row],[Heures ETP Encadrement]]/RTT!$E$7</f>
        <v>0</v>
      </c>
      <c r="L27" s="24"/>
    </row>
    <row r="28" spans="2:12" x14ac:dyDescent="0.25">
      <c r="B28" s="24" t="s">
        <v>168</v>
      </c>
      <c r="C28" s="24" t="s">
        <v>567</v>
      </c>
      <c r="D28" s="231">
        <f>SUMIF(CCTSAS[Carrière],ETPRECAP[[#This Row],[Carrière]],CCTSAS[heures annuelles
selon contrat(s)])</f>
        <v>0</v>
      </c>
      <c r="E28" s="232" t="e">
        <f>ETPRECAP[[#This Row],[Heures ETP]]/$D$15</f>
        <v>#DIV/0!</v>
      </c>
      <c r="F28" s="231">
        <f>ETPRECAP[[#This Row],[Heures ETP]]/RTT!$E$7</f>
        <v>0</v>
      </c>
      <c r="G28" s="231">
        <f>COUNTIF(CCTSAS[Carrière],ETPRECAP[[#This Row],[Carrière]])</f>
        <v>0</v>
      </c>
      <c r="H28" s="231">
        <f>IF(ETPRECAP[[#This Row],[Nombre empl.]]=0,0,SUMIF(CCTSAS[Carrière],ETPRECAP[[#This Row],[Carrière]],CCTSAS[Années])/ETPRECAP[[#This Row],[Nombre empl.]])</f>
        <v>0</v>
      </c>
      <c r="I28" s="231">
        <f>SUMIFS(CCTSAS[heures annuelles
selon contrat(s)],CCTSAS[Allocation fonctions],"Encadrement",CCTSAS[Carrière],ETPRECAP[[#This Row],[Carrière]])</f>
        <v>0</v>
      </c>
      <c r="J28" s="232" t="e">
        <f>ETPRECAP[[#This Row],[Heures ETP Encadrement]]/$I$15</f>
        <v>#DIV/0!</v>
      </c>
      <c r="K28" s="231">
        <f>ETPRECAP[[#This Row],[Heures ETP Encadrement]]/RTT!$E$7</f>
        <v>0</v>
      </c>
      <c r="L28" s="24"/>
    </row>
    <row r="29" spans="2:12" x14ac:dyDescent="0.25">
      <c r="B29" s="24" t="s">
        <v>169</v>
      </c>
      <c r="C29" s="24" t="s">
        <v>567</v>
      </c>
      <c r="D29" s="231">
        <f>SUMIF(CCTSAS[Carrière],ETPRECAP[[#This Row],[Carrière]],CCTSAS[heures annuelles
selon contrat(s)])</f>
        <v>0</v>
      </c>
      <c r="E29" s="232" t="e">
        <f>ETPRECAP[[#This Row],[Heures ETP]]/$D$15</f>
        <v>#DIV/0!</v>
      </c>
      <c r="F29" s="231">
        <f>ETPRECAP[[#This Row],[Heures ETP]]/RTT!$E$7</f>
        <v>0</v>
      </c>
      <c r="G29" s="231">
        <f>COUNTIF(CCTSAS[Carrière],ETPRECAP[[#This Row],[Carrière]])</f>
        <v>0</v>
      </c>
      <c r="H29" s="231">
        <f>IF(ETPRECAP[[#This Row],[Nombre empl.]]=0,0,SUMIF(CCTSAS[Carrière],ETPRECAP[[#This Row],[Carrière]],CCTSAS[Années])/ETPRECAP[[#This Row],[Nombre empl.]])</f>
        <v>0</v>
      </c>
      <c r="I29" s="231">
        <f>SUMIFS(CCTSAS[heures annuelles
selon contrat(s)],CCTSAS[Allocation fonctions],"Encadrement",CCTSAS[Carrière],ETPRECAP[[#This Row],[Carrière]])</f>
        <v>0</v>
      </c>
      <c r="J29" s="232" t="e">
        <f>ETPRECAP[[#This Row],[Heures ETP Encadrement]]/$I$15</f>
        <v>#DIV/0!</v>
      </c>
      <c r="K29" s="231">
        <f>ETPRECAP[[#This Row],[Heures ETP Encadrement]]/RTT!$E$7</f>
        <v>0</v>
      </c>
      <c r="L29" s="24"/>
    </row>
    <row r="30" spans="2:12" x14ac:dyDescent="0.25">
      <c r="B30" s="24" t="s">
        <v>171</v>
      </c>
      <c r="C30" s="24" t="s">
        <v>567</v>
      </c>
      <c r="D30" s="231">
        <f>SUMIF(CCTSAS[Carrière],ETPRECAP[[#This Row],[Carrière]],CCTSAS[heures annuelles
selon contrat(s)])</f>
        <v>0</v>
      </c>
      <c r="E30" s="232" t="e">
        <f>ETPRECAP[[#This Row],[Heures ETP]]/$D$15</f>
        <v>#DIV/0!</v>
      </c>
      <c r="F30" s="231">
        <f>ETPRECAP[[#This Row],[Heures ETP]]/RTT!$E$7</f>
        <v>0</v>
      </c>
      <c r="G30" s="231">
        <f>COUNTIF(CCTSAS[Carrière],ETPRECAP[[#This Row],[Carrière]])</f>
        <v>0</v>
      </c>
      <c r="H30" s="231">
        <f>IF(ETPRECAP[[#This Row],[Nombre empl.]]=0,0,SUMIF(CCTSAS[Carrière],ETPRECAP[[#This Row],[Carrière]],CCTSAS[Années])/ETPRECAP[[#This Row],[Nombre empl.]])</f>
        <v>0</v>
      </c>
      <c r="I30" s="231">
        <f>SUMIFS(CCTSAS[heures annuelles
selon contrat(s)],CCTSAS[Allocation fonctions],"Encadrement",CCTSAS[Carrière],ETPRECAP[[#This Row],[Carrière]])</f>
        <v>0</v>
      </c>
      <c r="J30" s="232" t="e">
        <f>ETPRECAP[[#This Row],[Heures ETP Encadrement]]/$I$15</f>
        <v>#DIV/0!</v>
      </c>
      <c r="K30" s="231">
        <f>ETPRECAP[[#This Row],[Heures ETP Encadrement]]/RTT!$E$7</f>
        <v>0</v>
      </c>
      <c r="L30" s="24"/>
    </row>
    <row r="31" spans="2:12" x14ac:dyDescent="0.25">
      <c r="B31" s="24" t="s">
        <v>172</v>
      </c>
      <c r="C31" s="24" t="s">
        <v>567</v>
      </c>
      <c r="D31" s="231">
        <f>SUMIF(CCTSAS[Carrière],ETPRECAP[[#This Row],[Carrière]],CCTSAS[heures annuelles
selon contrat(s)])</f>
        <v>0</v>
      </c>
      <c r="E31" s="232" t="e">
        <f>ETPRECAP[[#This Row],[Heures ETP]]/$D$15</f>
        <v>#DIV/0!</v>
      </c>
      <c r="F31" s="231">
        <f>ETPRECAP[[#This Row],[Heures ETP]]/RTT!$E$7</f>
        <v>0</v>
      </c>
      <c r="G31" s="231">
        <f>COUNTIF(CCTSAS[Carrière],ETPRECAP[[#This Row],[Carrière]])</f>
        <v>0</v>
      </c>
      <c r="H31" s="231">
        <f>IF(ETPRECAP[[#This Row],[Nombre empl.]]=0,0,SUMIF(CCTSAS[Carrière],ETPRECAP[[#This Row],[Carrière]],CCTSAS[Années])/ETPRECAP[[#This Row],[Nombre empl.]])</f>
        <v>0</v>
      </c>
      <c r="I31" s="231">
        <f>SUMIFS(CCTSAS[heures annuelles
selon contrat(s)],CCTSAS[Allocation fonctions],"Encadrement",CCTSAS[Carrière],ETPRECAP[[#This Row],[Carrière]])</f>
        <v>0</v>
      </c>
      <c r="J31" s="232" t="e">
        <f>ETPRECAP[[#This Row],[Heures ETP Encadrement]]/$I$15</f>
        <v>#DIV/0!</v>
      </c>
      <c r="K31" s="231">
        <f>ETPRECAP[[#This Row],[Heures ETP Encadrement]]/RTT!$E$7</f>
        <v>0</v>
      </c>
      <c r="L31" s="24"/>
    </row>
    <row r="32" spans="2:12" x14ac:dyDescent="0.25">
      <c r="B32" s="24" t="s">
        <v>173</v>
      </c>
      <c r="C32" s="24" t="s">
        <v>567</v>
      </c>
      <c r="D32" s="231">
        <f>SUMIF(CCTSAS[Carrière],ETPRECAP[[#This Row],[Carrière]],CCTSAS[heures annuelles
selon contrat(s)])</f>
        <v>0</v>
      </c>
      <c r="E32" s="232" t="e">
        <f>ETPRECAP[[#This Row],[Heures ETP]]/$D$15</f>
        <v>#DIV/0!</v>
      </c>
      <c r="F32" s="231">
        <f>ETPRECAP[[#This Row],[Heures ETP]]/RTT!$E$7</f>
        <v>0</v>
      </c>
      <c r="G32" s="231">
        <f>COUNTIF(CCTSAS[Carrière],ETPRECAP[[#This Row],[Carrière]])</f>
        <v>0</v>
      </c>
      <c r="H32" s="231">
        <f>IF(ETPRECAP[[#This Row],[Nombre empl.]]=0,0,SUMIF(CCTSAS[Carrière],ETPRECAP[[#This Row],[Carrière]],CCTSAS[Années])/ETPRECAP[[#This Row],[Nombre empl.]])</f>
        <v>0</v>
      </c>
      <c r="I32" s="231">
        <f>SUMIFS(CCTSAS[heures annuelles
selon contrat(s)],CCTSAS[Allocation fonctions],"Encadrement",CCTSAS[Carrière],ETPRECAP[[#This Row],[Carrière]])</f>
        <v>0</v>
      </c>
      <c r="J32" s="232" t="e">
        <f>ETPRECAP[[#This Row],[Heures ETP Encadrement]]/$I$15</f>
        <v>#DIV/0!</v>
      </c>
      <c r="K32" s="231">
        <f>ETPRECAP[[#This Row],[Heures ETP Encadrement]]/RTT!$E$7</f>
        <v>0</v>
      </c>
      <c r="L32" s="24"/>
    </row>
    <row r="33" spans="2:12" x14ac:dyDescent="0.25">
      <c r="B33" s="24" t="s">
        <v>174</v>
      </c>
      <c r="C33" s="24" t="s">
        <v>567</v>
      </c>
      <c r="D33" s="231">
        <f>SUMIF(CCTSAS[Carrière],ETPRECAP[[#This Row],[Carrière]],CCTSAS[heures annuelles
selon contrat(s)])</f>
        <v>0</v>
      </c>
      <c r="E33" s="232" t="e">
        <f>ETPRECAP[[#This Row],[Heures ETP]]/$D$15</f>
        <v>#DIV/0!</v>
      </c>
      <c r="F33" s="231">
        <f>ETPRECAP[[#This Row],[Heures ETP]]/RTT!$E$7</f>
        <v>0</v>
      </c>
      <c r="G33" s="231">
        <f>COUNTIF(CCTSAS[Carrière],ETPRECAP[[#This Row],[Carrière]])</f>
        <v>0</v>
      </c>
      <c r="H33" s="231">
        <f>IF(ETPRECAP[[#This Row],[Nombre empl.]]=0,0,SUMIF(CCTSAS[Carrière],ETPRECAP[[#This Row],[Carrière]],CCTSAS[Années])/ETPRECAP[[#This Row],[Nombre empl.]])</f>
        <v>0</v>
      </c>
      <c r="I33" s="231">
        <f>SUMIFS(CCTSAS[heures annuelles
selon contrat(s)],CCTSAS[Allocation fonctions],"Encadrement",CCTSAS[Carrière],ETPRECAP[[#This Row],[Carrière]])</f>
        <v>0</v>
      </c>
      <c r="J33" s="232" t="e">
        <f>ETPRECAP[[#This Row],[Heures ETP Encadrement]]/$I$15</f>
        <v>#DIV/0!</v>
      </c>
      <c r="K33" s="231">
        <f>ETPRECAP[[#This Row],[Heures ETP Encadrement]]/RTT!$E$7</f>
        <v>0</v>
      </c>
      <c r="L33" s="24"/>
    </row>
    <row r="34" spans="2:12" x14ac:dyDescent="0.25">
      <c r="B34" s="24" t="s">
        <v>176</v>
      </c>
      <c r="C34" s="24" t="s">
        <v>567</v>
      </c>
      <c r="D34" s="231">
        <f>SUMIF(CCTSAS[Carrière],ETPRECAP[[#This Row],[Carrière]],CCTSAS[heures annuelles
selon contrat(s)])</f>
        <v>0</v>
      </c>
      <c r="E34" s="232" t="e">
        <f>ETPRECAP[[#This Row],[Heures ETP]]/$D$15</f>
        <v>#DIV/0!</v>
      </c>
      <c r="F34" s="231">
        <f>ETPRECAP[[#This Row],[Heures ETP]]/RTT!$E$7</f>
        <v>0</v>
      </c>
      <c r="G34" s="231">
        <f>COUNTIF(CCTSAS[Carrière],ETPRECAP[[#This Row],[Carrière]])</f>
        <v>0</v>
      </c>
      <c r="H34" s="231">
        <f>IF(ETPRECAP[[#This Row],[Nombre empl.]]=0,0,SUMIF(CCTSAS[Carrière],ETPRECAP[[#This Row],[Carrière]],CCTSAS[Années])/ETPRECAP[[#This Row],[Nombre empl.]])</f>
        <v>0</v>
      </c>
      <c r="I34" s="231">
        <f>SUMIFS(CCTSAS[heures annuelles
selon contrat(s)],CCTSAS[Allocation fonctions],"Encadrement",CCTSAS[Carrière],ETPRECAP[[#This Row],[Carrière]])</f>
        <v>0</v>
      </c>
      <c r="J34" s="232" t="e">
        <f>ETPRECAP[[#This Row],[Heures ETP Encadrement]]/$I$15</f>
        <v>#DIV/0!</v>
      </c>
      <c r="K34" s="231">
        <f>ETPRECAP[[#This Row],[Heures ETP Encadrement]]/RTT!$E$7</f>
        <v>0</v>
      </c>
      <c r="L34" s="24"/>
    </row>
    <row r="35" spans="2:12" x14ac:dyDescent="0.25">
      <c r="B35" s="24" t="s">
        <v>177</v>
      </c>
      <c r="C35" s="24" t="s">
        <v>567</v>
      </c>
      <c r="D35" s="231">
        <f>SUMIF(CCTSAS[Carrière],ETPRECAP[[#This Row],[Carrière]],CCTSAS[heures annuelles
selon contrat(s)])</f>
        <v>0</v>
      </c>
      <c r="E35" s="232" t="e">
        <f>ETPRECAP[[#This Row],[Heures ETP]]/$D$15</f>
        <v>#DIV/0!</v>
      </c>
      <c r="F35" s="231">
        <f>ETPRECAP[[#This Row],[Heures ETP]]/RTT!$E$7</f>
        <v>0</v>
      </c>
      <c r="G35" s="231">
        <f>COUNTIF(CCTSAS[Carrière],ETPRECAP[[#This Row],[Carrière]])</f>
        <v>0</v>
      </c>
      <c r="H35" s="231">
        <f>IF(ETPRECAP[[#This Row],[Nombre empl.]]=0,0,SUMIF(CCTSAS[Carrière],ETPRECAP[[#This Row],[Carrière]],CCTSAS[Années])/ETPRECAP[[#This Row],[Nombre empl.]])</f>
        <v>0</v>
      </c>
      <c r="I35" s="231">
        <f>SUMIFS(CCTSAS[heures annuelles
selon contrat(s)],CCTSAS[Allocation fonctions],"Encadrement",CCTSAS[Carrière],ETPRECAP[[#This Row],[Carrière]])</f>
        <v>0</v>
      </c>
      <c r="J35" s="232" t="e">
        <f>ETPRECAP[[#This Row],[Heures ETP Encadrement]]/$I$15</f>
        <v>#DIV/0!</v>
      </c>
      <c r="K35" s="231">
        <f>ETPRECAP[[#This Row],[Heures ETP Encadrement]]/RTT!$E$7</f>
        <v>0</v>
      </c>
      <c r="L35" s="24"/>
    </row>
    <row r="36" spans="2:12" x14ac:dyDescent="0.25">
      <c r="B36" s="24" t="s">
        <v>178</v>
      </c>
      <c r="C36" s="24" t="s">
        <v>567</v>
      </c>
      <c r="D36" s="231">
        <f>SUMIF(CCTSAS[Carrière],ETPRECAP[[#This Row],[Carrière]],CCTSAS[heures annuelles
selon contrat(s)])</f>
        <v>0</v>
      </c>
      <c r="E36" s="232" t="e">
        <f>ETPRECAP[[#This Row],[Heures ETP]]/$D$15</f>
        <v>#DIV/0!</v>
      </c>
      <c r="F36" s="231">
        <f>ETPRECAP[[#This Row],[Heures ETP]]/RTT!$E$7</f>
        <v>0</v>
      </c>
      <c r="G36" s="231">
        <f>COUNTIF(CCTSAS[Carrière],ETPRECAP[[#This Row],[Carrière]])</f>
        <v>0</v>
      </c>
      <c r="H36" s="231">
        <f>IF(ETPRECAP[[#This Row],[Nombre empl.]]=0,0,SUMIF(CCTSAS[Carrière],ETPRECAP[[#This Row],[Carrière]],CCTSAS[Années])/ETPRECAP[[#This Row],[Nombre empl.]])</f>
        <v>0</v>
      </c>
      <c r="I36" s="231">
        <f>SUMIFS(CCTSAS[heures annuelles
selon contrat(s)],CCTSAS[Allocation fonctions],"Encadrement",CCTSAS[Carrière],ETPRECAP[[#This Row],[Carrière]])</f>
        <v>0</v>
      </c>
      <c r="J36" s="232" t="e">
        <f>ETPRECAP[[#This Row],[Heures ETP Encadrement]]/$I$15</f>
        <v>#DIV/0!</v>
      </c>
      <c r="K36" s="231">
        <f>ETPRECAP[[#This Row],[Heures ETP Encadrement]]/RTT!$E$7</f>
        <v>0</v>
      </c>
      <c r="L36" s="24"/>
    </row>
    <row r="37" spans="2:12" x14ac:dyDescent="0.25">
      <c r="B37" s="24" t="s">
        <v>180</v>
      </c>
      <c r="C37" s="24" t="s">
        <v>567</v>
      </c>
      <c r="D37" s="231">
        <f>SUMIF(CCTSAS[Carrière],ETPRECAP[[#This Row],[Carrière]],CCTSAS[heures annuelles
selon contrat(s)])</f>
        <v>0</v>
      </c>
      <c r="E37" s="232" t="e">
        <f>ETPRECAP[[#This Row],[Heures ETP]]/$D$15</f>
        <v>#DIV/0!</v>
      </c>
      <c r="F37" s="231">
        <f>ETPRECAP[[#This Row],[Heures ETP]]/RTT!$E$7</f>
        <v>0</v>
      </c>
      <c r="G37" s="231">
        <f>COUNTIF(CCTSAS[Carrière],ETPRECAP[[#This Row],[Carrière]])</f>
        <v>0</v>
      </c>
      <c r="H37" s="231">
        <f>IF(ETPRECAP[[#This Row],[Nombre empl.]]=0,0,SUMIF(CCTSAS[Carrière],ETPRECAP[[#This Row],[Carrière]],CCTSAS[Années])/ETPRECAP[[#This Row],[Nombre empl.]])</f>
        <v>0</v>
      </c>
      <c r="I37" s="231">
        <f>SUMIFS(CCTSAS[heures annuelles
selon contrat(s)],CCTSAS[Allocation fonctions],"Encadrement",CCTSAS[Carrière],ETPRECAP[[#This Row],[Carrière]])</f>
        <v>0</v>
      </c>
      <c r="J37" s="232" t="e">
        <f>ETPRECAP[[#This Row],[Heures ETP Encadrement]]/$I$15</f>
        <v>#DIV/0!</v>
      </c>
      <c r="K37" s="231">
        <f>ETPRECAP[[#This Row],[Heures ETP Encadrement]]/RTT!$E$7</f>
        <v>0</v>
      </c>
      <c r="L37" s="24"/>
    </row>
    <row r="38" spans="2:12" x14ac:dyDescent="0.25">
      <c r="B38" s="24" t="s">
        <v>182</v>
      </c>
      <c r="C38" s="24" t="s">
        <v>567</v>
      </c>
      <c r="D38" s="231">
        <f>SUMIF(CCTSAS[Carrière],ETPRECAP[[#This Row],[Carrière]],CCTSAS[heures annuelles
selon contrat(s)])</f>
        <v>0</v>
      </c>
      <c r="E38" s="232" t="e">
        <f>ETPRECAP[[#This Row],[Heures ETP]]/$D$15</f>
        <v>#DIV/0!</v>
      </c>
      <c r="F38" s="231">
        <f>ETPRECAP[[#This Row],[Heures ETP]]/RTT!$E$7</f>
        <v>0</v>
      </c>
      <c r="G38" s="231">
        <f>COUNTIF(CCTSAS[Carrière],ETPRECAP[[#This Row],[Carrière]])</f>
        <v>0</v>
      </c>
      <c r="H38" s="231">
        <f>IF(ETPRECAP[[#This Row],[Nombre empl.]]=0,0,SUMIF(CCTSAS[Carrière],ETPRECAP[[#This Row],[Carrière]],CCTSAS[Années])/ETPRECAP[[#This Row],[Nombre empl.]])</f>
        <v>0</v>
      </c>
      <c r="I38" s="231">
        <f>SUMIFS(CCTSAS[heures annuelles
selon contrat(s)],CCTSAS[Allocation fonctions],"Encadrement",CCTSAS[Carrière],ETPRECAP[[#This Row],[Carrière]])</f>
        <v>0</v>
      </c>
      <c r="J38" s="232" t="e">
        <f>ETPRECAP[[#This Row],[Heures ETP Encadrement]]/$I$15</f>
        <v>#DIV/0!</v>
      </c>
      <c r="K38" s="231">
        <f>ETPRECAP[[#This Row],[Heures ETP Encadrement]]/RTT!$E$7</f>
        <v>0</v>
      </c>
      <c r="L38" s="24"/>
    </row>
    <row r="39" spans="2:12" x14ac:dyDescent="0.25">
      <c r="B39" s="24" t="s">
        <v>184</v>
      </c>
      <c r="C39" s="24" t="s">
        <v>567</v>
      </c>
      <c r="D39" s="231">
        <f>SUMIF(CCTSAS[Carrière],ETPRECAP[[#This Row],[Carrière]],CCTSAS[heures annuelles
selon contrat(s)])</f>
        <v>0</v>
      </c>
      <c r="E39" s="232" t="e">
        <f>ETPRECAP[[#This Row],[Heures ETP]]/$D$15</f>
        <v>#DIV/0!</v>
      </c>
      <c r="F39" s="231">
        <f>ETPRECAP[[#This Row],[Heures ETP]]/RTT!$E$7</f>
        <v>0</v>
      </c>
      <c r="G39" s="231">
        <f>COUNTIF(CCTSAS[Carrière],ETPRECAP[[#This Row],[Carrière]])</f>
        <v>0</v>
      </c>
      <c r="H39" s="231">
        <f>IF(ETPRECAP[[#This Row],[Nombre empl.]]=0,0,SUMIF(CCTSAS[Carrière],ETPRECAP[[#This Row],[Carrière]],CCTSAS[Années])/ETPRECAP[[#This Row],[Nombre empl.]])</f>
        <v>0</v>
      </c>
      <c r="I39" s="231">
        <f>SUMIFS(CCTSAS[heures annuelles
selon contrat(s)],CCTSAS[Allocation fonctions],"Encadrement",CCTSAS[Carrière],ETPRECAP[[#This Row],[Carrière]])</f>
        <v>0</v>
      </c>
      <c r="J39" s="232" t="e">
        <f>ETPRECAP[[#This Row],[Heures ETP Encadrement]]/$I$15</f>
        <v>#DIV/0!</v>
      </c>
      <c r="K39" s="231">
        <f>ETPRECAP[[#This Row],[Heures ETP Encadrement]]/RTT!$E$7</f>
        <v>0</v>
      </c>
      <c r="L39" s="24"/>
    </row>
    <row r="40" spans="2:12" x14ac:dyDescent="0.25">
      <c r="B40" s="24" t="s">
        <v>185</v>
      </c>
      <c r="C40" s="24" t="s">
        <v>567</v>
      </c>
      <c r="D40" s="231">
        <f>SUMIF(CCTSAS[Carrière],ETPRECAP[[#This Row],[Carrière]],CCTSAS[heures annuelles
selon contrat(s)])</f>
        <v>0</v>
      </c>
      <c r="E40" s="232" t="e">
        <f>ETPRECAP[[#This Row],[Heures ETP]]/$D$15</f>
        <v>#DIV/0!</v>
      </c>
      <c r="F40" s="231">
        <f>ETPRECAP[[#This Row],[Heures ETP]]/RTT!$E$7</f>
        <v>0</v>
      </c>
      <c r="G40" s="231">
        <f>COUNTIF(CCTSAS[Carrière],ETPRECAP[[#This Row],[Carrière]])</f>
        <v>0</v>
      </c>
      <c r="H40" s="231">
        <f>IF(ETPRECAP[[#This Row],[Nombre empl.]]=0,0,SUMIF(CCTSAS[Carrière],ETPRECAP[[#This Row],[Carrière]],CCTSAS[Années])/ETPRECAP[[#This Row],[Nombre empl.]])</f>
        <v>0</v>
      </c>
      <c r="I40" s="231">
        <f>SUMIFS(CCTSAS[heures annuelles
selon contrat(s)],CCTSAS[Allocation fonctions],"Encadrement",CCTSAS[Carrière],ETPRECAP[[#This Row],[Carrière]])</f>
        <v>0</v>
      </c>
      <c r="J40" s="232" t="e">
        <f>ETPRECAP[[#This Row],[Heures ETP Encadrement]]/$I$15</f>
        <v>#DIV/0!</v>
      </c>
      <c r="K40" s="231">
        <f>ETPRECAP[[#This Row],[Heures ETP Encadrement]]/RTT!$E$7</f>
        <v>0</v>
      </c>
      <c r="L40" s="24"/>
    </row>
    <row r="41" spans="2:12" x14ac:dyDescent="0.25">
      <c r="B41" s="24" t="s">
        <v>187</v>
      </c>
      <c r="C41" s="24" t="s">
        <v>567</v>
      </c>
      <c r="D41" s="231">
        <f>SUMIF(CCTSAS[Carrière],ETPRECAP[[#This Row],[Carrière]],CCTSAS[heures annuelles
selon contrat(s)])</f>
        <v>0</v>
      </c>
      <c r="E41" s="232" t="e">
        <f>ETPRECAP[[#This Row],[Heures ETP]]/$D$15</f>
        <v>#DIV/0!</v>
      </c>
      <c r="F41" s="231">
        <f>ETPRECAP[[#This Row],[Heures ETP]]/RTT!$E$7</f>
        <v>0</v>
      </c>
      <c r="G41" s="231">
        <f>COUNTIF(CCTSAS[Carrière],ETPRECAP[[#This Row],[Carrière]])</f>
        <v>0</v>
      </c>
      <c r="H41" s="231">
        <f>IF(ETPRECAP[[#This Row],[Nombre empl.]]=0,0,SUMIF(CCTSAS[Carrière],ETPRECAP[[#This Row],[Carrière]],CCTSAS[Années])/ETPRECAP[[#This Row],[Nombre empl.]])</f>
        <v>0</v>
      </c>
      <c r="I41" s="231">
        <f>SUMIFS(CCTSAS[heures annuelles
selon contrat(s)],CCTSAS[Allocation fonctions],"Encadrement",CCTSAS[Carrière],ETPRECAP[[#This Row],[Carrière]])</f>
        <v>0</v>
      </c>
      <c r="J41" s="232" t="e">
        <f>ETPRECAP[[#This Row],[Heures ETP Encadrement]]/$I$15</f>
        <v>#DIV/0!</v>
      </c>
      <c r="K41" s="231">
        <f>ETPRECAP[[#This Row],[Heures ETP Encadrement]]/RTT!$E$7</f>
        <v>0</v>
      </c>
      <c r="L41" s="24"/>
    </row>
    <row r="42" spans="2:12" x14ac:dyDescent="0.25">
      <c r="B42" s="24" t="s">
        <v>188</v>
      </c>
      <c r="C42" s="24" t="s">
        <v>567</v>
      </c>
      <c r="D42" s="231">
        <f>SUMIF(CCTSAS[Carrière],ETPRECAP[[#This Row],[Carrière]],CCTSAS[heures annuelles
selon contrat(s)])</f>
        <v>0</v>
      </c>
      <c r="E42" s="232" t="e">
        <f>ETPRECAP[[#This Row],[Heures ETP]]/$D$15</f>
        <v>#DIV/0!</v>
      </c>
      <c r="F42" s="231">
        <f>ETPRECAP[[#This Row],[Heures ETP]]/RTT!$E$7</f>
        <v>0</v>
      </c>
      <c r="G42" s="231">
        <f>COUNTIF(CCTSAS[Carrière],ETPRECAP[[#This Row],[Carrière]])</f>
        <v>0</v>
      </c>
      <c r="H42" s="231">
        <f>IF(ETPRECAP[[#This Row],[Nombre empl.]]=0,0,SUMIF(CCTSAS[Carrière],ETPRECAP[[#This Row],[Carrière]],CCTSAS[Années])/ETPRECAP[[#This Row],[Nombre empl.]])</f>
        <v>0</v>
      </c>
      <c r="I42" s="231">
        <f>SUMIFS(CCTSAS[heures annuelles
selon contrat(s)],CCTSAS[Allocation fonctions],"Encadrement",CCTSAS[Carrière],ETPRECAP[[#This Row],[Carrière]])</f>
        <v>0</v>
      </c>
      <c r="J42" s="232" t="e">
        <f>ETPRECAP[[#This Row],[Heures ETP Encadrement]]/$I$15</f>
        <v>#DIV/0!</v>
      </c>
      <c r="K42" s="231">
        <f>ETPRECAP[[#This Row],[Heures ETP Encadrement]]/RTT!$E$7</f>
        <v>0</v>
      </c>
      <c r="L42" s="24"/>
    </row>
    <row r="43" spans="2:12" x14ac:dyDescent="0.25">
      <c r="B43" s="24" t="s">
        <v>190</v>
      </c>
      <c r="C43" s="24" t="s">
        <v>567</v>
      </c>
      <c r="D43" s="231">
        <f>SUMIF(CCTSAS[Carrière],ETPRECAP[[#This Row],[Carrière]],CCTSAS[heures annuelles
selon contrat(s)])</f>
        <v>0</v>
      </c>
      <c r="E43" s="232" t="e">
        <f>ETPRECAP[[#This Row],[Heures ETP]]/$D$15</f>
        <v>#DIV/0!</v>
      </c>
      <c r="F43" s="231">
        <f>ETPRECAP[[#This Row],[Heures ETP]]/RTT!$E$7</f>
        <v>0</v>
      </c>
      <c r="G43" s="231">
        <f>COUNTIF(CCTSAS[Carrière],ETPRECAP[[#This Row],[Carrière]])</f>
        <v>0</v>
      </c>
      <c r="H43" s="231">
        <f>IF(ETPRECAP[[#This Row],[Nombre empl.]]=0,0,SUMIF(CCTSAS[Carrière],ETPRECAP[[#This Row],[Carrière]],CCTSAS[Années])/ETPRECAP[[#This Row],[Nombre empl.]])</f>
        <v>0</v>
      </c>
      <c r="I43" s="231">
        <f>SUMIFS(CCTSAS[heures annuelles
selon contrat(s)],CCTSAS[Allocation fonctions],"Encadrement",CCTSAS[Carrière],ETPRECAP[[#This Row],[Carrière]])</f>
        <v>0</v>
      </c>
      <c r="J43" s="232" t="e">
        <f>ETPRECAP[[#This Row],[Heures ETP Encadrement]]/$I$15</f>
        <v>#DIV/0!</v>
      </c>
      <c r="K43" s="231">
        <f>ETPRECAP[[#This Row],[Heures ETP Encadrement]]/RTT!$E$7</f>
        <v>0</v>
      </c>
      <c r="L43" s="24"/>
    </row>
    <row r="44" spans="2:12" x14ac:dyDescent="0.25">
      <c r="B44" s="24" t="s">
        <v>191</v>
      </c>
      <c r="C44" s="24" t="s">
        <v>567</v>
      </c>
      <c r="D44" s="231">
        <f>SUMIF(CCTSAS[Carrière],ETPRECAP[[#This Row],[Carrière]],CCTSAS[heures annuelles
selon contrat(s)])</f>
        <v>0</v>
      </c>
      <c r="E44" s="232" t="e">
        <f>ETPRECAP[[#This Row],[Heures ETP]]/$D$15</f>
        <v>#DIV/0!</v>
      </c>
      <c r="F44" s="231">
        <f>ETPRECAP[[#This Row],[Heures ETP]]/RTT!$E$7</f>
        <v>0</v>
      </c>
      <c r="G44" s="231">
        <f>COUNTIF(CCTSAS[Carrière],ETPRECAP[[#This Row],[Carrière]])</f>
        <v>0</v>
      </c>
      <c r="H44" s="231">
        <f>IF(ETPRECAP[[#This Row],[Nombre empl.]]=0,0,SUMIF(CCTSAS[Carrière],ETPRECAP[[#This Row],[Carrière]],CCTSAS[Années])/ETPRECAP[[#This Row],[Nombre empl.]])</f>
        <v>0</v>
      </c>
      <c r="I44" s="231">
        <f>SUMIFS(CCTSAS[heures annuelles
selon contrat(s)],CCTSAS[Allocation fonctions],"Encadrement",CCTSAS[Carrière],ETPRECAP[[#This Row],[Carrière]])</f>
        <v>0</v>
      </c>
      <c r="J44" s="232" t="e">
        <f>ETPRECAP[[#This Row],[Heures ETP Encadrement]]/$I$15</f>
        <v>#DIV/0!</v>
      </c>
      <c r="K44" s="231">
        <f>ETPRECAP[[#This Row],[Heures ETP Encadrement]]/RTT!$E$7</f>
        <v>0</v>
      </c>
      <c r="L44" s="24"/>
    </row>
    <row r="45" spans="2:12" x14ac:dyDescent="0.25">
      <c r="B45" s="24" t="s">
        <v>193</v>
      </c>
      <c r="C45" s="24" t="s">
        <v>567</v>
      </c>
      <c r="D45" s="231">
        <f>SUMIF(CCTSAS[Carrière],ETPRECAP[[#This Row],[Carrière]],CCTSAS[heures annuelles
selon contrat(s)])</f>
        <v>0</v>
      </c>
      <c r="E45" s="232" t="e">
        <f>ETPRECAP[[#This Row],[Heures ETP]]/$D$15</f>
        <v>#DIV/0!</v>
      </c>
      <c r="F45" s="231">
        <f>ETPRECAP[[#This Row],[Heures ETP]]/RTT!$E$7</f>
        <v>0</v>
      </c>
      <c r="G45" s="231">
        <f>COUNTIF(CCTSAS[Carrière],ETPRECAP[[#This Row],[Carrière]])</f>
        <v>0</v>
      </c>
      <c r="H45" s="231">
        <f>IF(ETPRECAP[[#This Row],[Nombre empl.]]=0,0,SUMIF(CCTSAS[Carrière],ETPRECAP[[#This Row],[Carrière]],CCTSAS[Années])/ETPRECAP[[#This Row],[Nombre empl.]])</f>
        <v>0</v>
      </c>
      <c r="I45" s="231">
        <f>SUMIFS(CCTSAS[heures annuelles
selon contrat(s)],CCTSAS[Allocation fonctions],"Encadrement",CCTSAS[Carrière],ETPRECAP[[#This Row],[Carrière]])</f>
        <v>0</v>
      </c>
      <c r="J45" s="232" t="e">
        <f>ETPRECAP[[#This Row],[Heures ETP Encadrement]]/$I$15</f>
        <v>#DIV/0!</v>
      </c>
      <c r="K45" s="231">
        <f>ETPRECAP[[#This Row],[Heures ETP Encadrement]]/RTT!$E$7</f>
        <v>0</v>
      </c>
      <c r="L45" s="24"/>
    </row>
    <row r="46" spans="2:12" x14ac:dyDescent="0.25">
      <c r="B46" s="24" t="s">
        <v>194</v>
      </c>
      <c r="C46" s="24" t="s">
        <v>567</v>
      </c>
      <c r="D46" s="231">
        <f>SUMIF(CCTSAS[Carrière],ETPRECAP[[#This Row],[Carrière]],CCTSAS[heures annuelles
selon contrat(s)])</f>
        <v>0</v>
      </c>
      <c r="E46" s="232" t="e">
        <f>ETPRECAP[[#This Row],[Heures ETP]]/$D$15</f>
        <v>#DIV/0!</v>
      </c>
      <c r="F46" s="231">
        <f>ETPRECAP[[#This Row],[Heures ETP]]/RTT!$E$7</f>
        <v>0</v>
      </c>
      <c r="G46" s="231">
        <f>COUNTIF(CCTSAS[Carrière],ETPRECAP[[#This Row],[Carrière]])</f>
        <v>0</v>
      </c>
      <c r="H46" s="231">
        <f>IF(ETPRECAP[[#This Row],[Nombre empl.]]=0,0,SUMIF(CCTSAS[Carrière],ETPRECAP[[#This Row],[Carrière]],CCTSAS[Années])/ETPRECAP[[#This Row],[Nombre empl.]])</f>
        <v>0</v>
      </c>
      <c r="I46" s="231">
        <f>SUMIFS(CCTSAS[heures annuelles
selon contrat(s)],CCTSAS[Allocation fonctions],"Encadrement",CCTSAS[Carrière],ETPRECAP[[#This Row],[Carrière]])</f>
        <v>0</v>
      </c>
      <c r="J46" s="232" t="e">
        <f>ETPRECAP[[#This Row],[Heures ETP Encadrement]]/$I$15</f>
        <v>#DIV/0!</v>
      </c>
      <c r="K46" s="231">
        <f>ETPRECAP[[#This Row],[Heures ETP Encadrement]]/RTT!$E$7</f>
        <v>0</v>
      </c>
      <c r="L46" s="24"/>
    </row>
    <row r="47" spans="2:12" x14ac:dyDescent="0.25">
      <c r="B47" s="24" t="s">
        <v>196</v>
      </c>
      <c r="C47" s="24" t="s">
        <v>567</v>
      </c>
      <c r="D47" s="231">
        <f>SUMIF(CCTSAS[Carrière],ETPRECAP[[#This Row],[Carrière]],CCTSAS[heures annuelles
selon contrat(s)])</f>
        <v>0</v>
      </c>
      <c r="E47" s="232" t="e">
        <f>ETPRECAP[[#This Row],[Heures ETP]]/$D$15</f>
        <v>#DIV/0!</v>
      </c>
      <c r="F47" s="231">
        <f>ETPRECAP[[#This Row],[Heures ETP]]/RTT!$E$7</f>
        <v>0</v>
      </c>
      <c r="G47" s="231">
        <f>COUNTIF(CCTSAS[Carrière],ETPRECAP[[#This Row],[Carrière]])</f>
        <v>0</v>
      </c>
      <c r="H47" s="231">
        <f>IF(ETPRECAP[[#This Row],[Nombre empl.]]=0,0,SUMIF(CCTSAS[Carrière],ETPRECAP[[#This Row],[Carrière]],CCTSAS[Années])/ETPRECAP[[#This Row],[Nombre empl.]])</f>
        <v>0</v>
      </c>
      <c r="I47" s="231">
        <f>SUMIFS(CCTSAS[heures annuelles
selon contrat(s)],CCTSAS[Allocation fonctions],"Encadrement",CCTSAS[Carrière],ETPRECAP[[#This Row],[Carrière]])</f>
        <v>0</v>
      </c>
      <c r="J47" s="232" t="e">
        <f>ETPRECAP[[#This Row],[Heures ETP Encadrement]]/$I$15</f>
        <v>#DIV/0!</v>
      </c>
      <c r="K47" s="231">
        <f>ETPRECAP[[#This Row],[Heures ETP Encadrement]]/RTT!$E$7</f>
        <v>0</v>
      </c>
      <c r="L47" s="24"/>
    </row>
    <row r="48" spans="2:12" x14ac:dyDescent="0.25">
      <c r="B48" s="24" t="s">
        <v>199</v>
      </c>
      <c r="C48" s="24" t="s">
        <v>567</v>
      </c>
      <c r="D48" s="231">
        <f>SUMIF(CCTSAS[Carrière],ETPRECAP[[#This Row],[Carrière]],CCTSAS[heures annuelles
selon contrat(s)])</f>
        <v>0</v>
      </c>
      <c r="E48" s="232" t="e">
        <f>ETPRECAP[[#This Row],[Heures ETP]]/$D$15</f>
        <v>#DIV/0!</v>
      </c>
      <c r="F48" s="231">
        <f>ETPRECAP[[#This Row],[Heures ETP]]/RTT!$E$7</f>
        <v>0</v>
      </c>
      <c r="G48" s="231">
        <f>COUNTIF(CCTSAS[Carrière],ETPRECAP[[#This Row],[Carrière]])</f>
        <v>0</v>
      </c>
      <c r="H48" s="231">
        <f>IF(ETPRECAP[[#This Row],[Nombre empl.]]=0,0,SUMIF(CCTSAS[Carrière],ETPRECAP[[#This Row],[Carrière]],CCTSAS[Années])/ETPRECAP[[#This Row],[Nombre empl.]])</f>
        <v>0</v>
      </c>
      <c r="I48" s="231">
        <f>SUMIFS(CCTSAS[heures annuelles
selon contrat(s)],CCTSAS[Allocation fonctions],"Encadrement",CCTSAS[Carrière],ETPRECAP[[#This Row],[Carrière]])</f>
        <v>0</v>
      </c>
      <c r="J48" s="232" t="e">
        <f>ETPRECAP[[#This Row],[Heures ETP Encadrement]]/$I$15</f>
        <v>#DIV/0!</v>
      </c>
      <c r="K48" s="231">
        <f>ETPRECAP[[#This Row],[Heures ETP Encadrement]]/RTT!$E$7</f>
        <v>0</v>
      </c>
      <c r="L48" s="24"/>
    </row>
    <row r="49" spans="2:12" x14ac:dyDescent="0.25">
      <c r="B49" s="24" t="s">
        <v>201</v>
      </c>
      <c r="C49" s="24" t="s">
        <v>567</v>
      </c>
      <c r="D49" s="231">
        <f>SUMIF(CCTSAS[Carrière],ETPRECAP[[#This Row],[Carrière]],CCTSAS[heures annuelles
selon contrat(s)])</f>
        <v>0</v>
      </c>
      <c r="E49" s="232" t="e">
        <f>ETPRECAP[[#This Row],[Heures ETP]]/$D$15</f>
        <v>#DIV/0!</v>
      </c>
      <c r="F49" s="231">
        <f>ETPRECAP[[#This Row],[Heures ETP]]/RTT!$E$7</f>
        <v>0</v>
      </c>
      <c r="G49" s="231">
        <f>COUNTIF(CCTSAS[Carrière],ETPRECAP[[#This Row],[Carrière]])</f>
        <v>0</v>
      </c>
      <c r="H49" s="231">
        <f>IF(ETPRECAP[[#This Row],[Nombre empl.]]=0,0,SUMIF(CCTSAS[Carrière],ETPRECAP[[#This Row],[Carrière]],CCTSAS[Années])/ETPRECAP[[#This Row],[Nombre empl.]])</f>
        <v>0</v>
      </c>
      <c r="I49" s="231">
        <f>SUMIFS(CCTSAS[heures annuelles
selon contrat(s)],CCTSAS[Allocation fonctions],"Encadrement",CCTSAS[Carrière],ETPRECAP[[#This Row],[Carrière]])</f>
        <v>0</v>
      </c>
      <c r="J49" s="232" t="e">
        <f>ETPRECAP[[#This Row],[Heures ETP Encadrement]]/$I$15</f>
        <v>#DIV/0!</v>
      </c>
      <c r="K49" s="231">
        <f>ETPRECAP[[#This Row],[Heures ETP Encadrement]]/RTT!$E$7</f>
        <v>0</v>
      </c>
      <c r="L49" s="24"/>
    </row>
    <row r="50" spans="2:12" x14ac:dyDescent="0.25">
      <c r="B50" s="24" t="s">
        <v>203</v>
      </c>
      <c r="C50" s="24" t="s">
        <v>567</v>
      </c>
      <c r="D50" s="231">
        <f>SUMIF(CCTSAS[Carrière],ETPRECAP[[#This Row],[Carrière]],CCTSAS[heures annuelles
selon contrat(s)])</f>
        <v>0</v>
      </c>
      <c r="E50" s="232" t="e">
        <f>ETPRECAP[[#This Row],[Heures ETP]]/$D$15</f>
        <v>#DIV/0!</v>
      </c>
      <c r="F50" s="231">
        <f>ETPRECAP[[#This Row],[Heures ETP]]/RTT!$E$7</f>
        <v>0</v>
      </c>
      <c r="G50" s="231">
        <f>COUNTIF(CCTSAS[Carrière],ETPRECAP[[#This Row],[Carrière]])</f>
        <v>0</v>
      </c>
      <c r="H50" s="231">
        <f>IF(ETPRECAP[[#This Row],[Nombre empl.]]=0,0,SUMIF(CCTSAS[Carrière],ETPRECAP[[#This Row],[Carrière]],CCTSAS[Années])/ETPRECAP[[#This Row],[Nombre empl.]])</f>
        <v>0</v>
      </c>
      <c r="I50" s="231">
        <f>SUMIFS(CCTSAS[heures annuelles
selon contrat(s)],CCTSAS[Allocation fonctions],"Encadrement",CCTSAS[Carrière],ETPRECAP[[#This Row],[Carrière]])</f>
        <v>0</v>
      </c>
      <c r="J50" s="232" t="e">
        <f>ETPRECAP[[#This Row],[Heures ETP Encadrement]]/$I$15</f>
        <v>#DIV/0!</v>
      </c>
      <c r="K50" s="231">
        <f>ETPRECAP[[#This Row],[Heures ETP Encadrement]]/RTT!$E$7</f>
        <v>0</v>
      </c>
      <c r="L50" s="24"/>
    </row>
    <row r="51" spans="2:12" x14ac:dyDescent="0.25">
      <c r="B51" s="24" t="s">
        <v>205</v>
      </c>
      <c r="C51" s="24" t="s">
        <v>567</v>
      </c>
      <c r="D51" s="231">
        <f>SUMIF(CCTSAS[Carrière],ETPRECAP[[#This Row],[Carrière]],CCTSAS[heures annuelles
selon contrat(s)])</f>
        <v>0</v>
      </c>
      <c r="E51" s="232" t="e">
        <f>ETPRECAP[[#This Row],[Heures ETP]]/$D$15</f>
        <v>#DIV/0!</v>
      </c>
      <c r="F51" s="231">
        <f>ETPRECAP[[#This Row],[Heures ETP]]/RTT!$E$7</f>
        <v>0</v>
      </c>
      <c r="G51" s="231">
        <f>COUNTIF(CCTSAS[Carrière],ETPRECAP[[#This Row],[Carrière]])</f>
        <v>0</v>
      </c>
      <c r="H51" s="231">
        <f>IF(ETPRECAP[[#This Row],[Nombre empl.]]=0,0,SUMIF(CCTSAS[Carrière],ETPRECAP[[#This Row],[Carrière]],CCTSAS[Années])/ETPRECAP[[#This Row],[Nombre empl.]])</f>
        <v>0</v>
      </c>
      <c r="I51" s="231">
        <f>SUMIFS(CCTSAS[heures annuelles
selon contrat(s)],CCTSAS[Allocation fonctions],"Encadrement",CCTSAS[Carrière],ETPRECAP[[#This Row],[Carrière]])</f>
        <v>0</v>
      </c>
      <c r="J51" s="232" t="e">
        <f>ETPRECAP[[#This Row],[Heures ETP Encadrement]]/$I$15</f>
        <v>#DIV/0!</v>
      </c>
      <c r="K51" s="231">
        <f>ETPRECAP[[#This Row],[Heures ETP Encadrement]]/RTT!$E$7</f>
        <v>0</v>
      </c>
      <c r="L51" s="24"/>
    </row>
    <row r="52" spans="2:12" x14ac:dyDescent="0.25">
      <c r="B52" s="24" t="s">
        <v>206</v>
      </c>
      <c r="C52" s="24" t="s">
        <v>567</v>
      </c>
      <c r="D52" s="231">
        <f>SUMIF(CCTSAS[Carrière],ETPRECAP[[#This Row],[Carrière]],CCTSAS[heures annuelles
selon contrat(s)])</f>
        <v>0</v>
      </c>
      <c r="E52" s="232" t="e">
        <f>ETPRECAP[[#This Row],[Heures ETP]]/$D$15</f>
        <v>#DIV/0!</v>
      </c>
      <c r="F52" s="231">
        <f>ETPRECAP[[#This Row],[Heures ETP]]/RTT!$E$7</f>
        <v>0</v>
      </c>
      <c r="G52" s="231">
        <f>COUNTIF(CCTSAS[Carrière],ETPRECAP[[#This Row],[Carrière]])</f>
        <v>0</v>
      </c>
      <c r="H52" s="231">
        <f>IF(ETPRECAP[[#This Row],[Nombre empl.]]=0,0,SUMIF(CCTSAS[Carrière],ETPRECAP[[#This Row],[Carrière]],CCTSAS[Années])/ETPRECAP[[#This Row],[Nombre empl.]])</f>
        <v>0</v>
      </c>
      <c r="I52" s="231">
        <f>SUMIFS(CCTSAS[heures annuelles
selon contrat(s)],CCTSAS[Allocation fonctions],"Encadrement",CCTSAS[Carrière],ETPRECAP[[#This Row],[Carrière]])</f>
        <v>0</v>
      </c>
      <c r="J52" s="232" t="e">
        <f>ETPRECAP[[#This Row],[Heures ETP Encadrement]]/$I$15</f>
        <v>#DIV/0!</v>
      </c>
      <c r="K52" s="231">
        <f>ETPRECAP[[#This Row],[Heures ETP Encadrement]]/RTT!$E$7</f>
        <v>0</v>
      </c>
      <c r="L52" s="24"/>
    </row>
    <row r="53" spans="2:12" x14ac:dyDescent="0.25">
      <c r="B53" s="24" t="s">
        <v>207</v>
      </c>
      <c r="C53" s="24" t="s">
        <v>567</v>
      </c>
      <c r="D53" s="231">
        <f>SUMIF(CCTSAS[Carrière],ETPRECAP[[#This Row],[Carrière]],CCTSAS[heures annuelles
selon contrat(s)])</f>
        <v>0</v>
      </c>
      <c r="E53" s="232" t="e">
        <f>ETPRECAP[[#This Row],[Heures ETP]]/$D$15</f>
        <v>#DIV/0!</v>
      </c>
      <c r="F53" s="231">
        <f>ETPRECAP[[#This Row],[Heures ETP]]/RTT!$E$7</f>
        <v>0</v>
      </c>
      <c r="G53" s="231">
        <f>COUNTIF(CCTSAS[Carrière],ETPRECAP[[#This Row],[Carrière]])</f>
        <v>0</v>
      </c>
      <c r="H53" s="231">
        <f>IF(ETPRECAP[[#This Row],[Nombre empl.]]=0,0,SUMIF(CCTSAS[Carrière],ETPRECAP[[#This Row],[Carrière]],CCTSAS[Années])/ETPRECAP[[#This Row],[Nombre empl.]])</f>
        <v>0</v>
      </c>
      <c r="I53" s="231">
        <f>SUMIFS(CCTSAS[heures annuelles
selon contrat(s)],CCTSAS[Allocation fonctions],"Encadrement",CCTSAS[Carrière],ETPRECAP[[#This Row],[Carrière]])</f>
        <v>0</v>
      </c>
      <c r="J53" s="232" t="e">
        <f>ETPRECAP[[#This Row],[Heures ETP Encadrement]]/$I$15</f>
        <v>#DIV/0!</v>
      </c>
      <c r="K53" s="231">
        <f>ETPRECAP[[#This Row],[Heures ETP Encadrement]]/RTT!$E$7</f>
        <v>0</v>
      </c>
      <c r="L53" s="24"/>
    </row>
    <row r="54" spans="2:12" x14ac:dyDescent="0.25">
      <c r="B54" s="24" t="s">
        <v>263</v>
      </c>
      <c r="C54" s="24" t="s">
        <v>567</v>
      </c>
      <c r="D54" s="231">
        <f>SUMIF(CCTSAS[Carrière],ETPRECAP[[#This Row],[Carrière]],CCTSAS[heures annuelles
selon contrat(s)])</f>
        <v>0</v>
      </c>
      <c r="E54" s="232" t="e">
        <f>ETPRECAP[[#This Row],[Heures ETP]]/$D$15</f>
        <v>#DIV/0!</v>
      </c>
      <c r="F54" s="231">
        <f>ETPRECAP[[#This Row],[Heures ETP]]/RTT!$E$7</f>
        <v>0</v>
      </c>
      <c r="G54" s="231">
        <f>COUNTIF(CCTSAS[Carrière],ETPRECAP[[#This Row],[Carrière]])</f>
        <v>0</v>
      </c>
      <c r="H54" s="231">
        <f>IF(ETPRECAP[[#This Row],[Nombre empl.]]=0,0,SUMIF(CCTSAS[Carrière],ETPRECAP[[#This Row],[Carrière]],CCTSAS[Années])/ETPRECAP[[#This Row],[Nombre empl.]])</f>
        <v>0</v>
      </c>
      <c r="I54" s="231">
        <f>SUMIFS(CCTSAS[heures annuelles
selon contrat(s)],CCTSAS[Allocation fonctions],"Encadrement",CCTSAS[Carrière],ETPRECAP[[#This Row],[Carrière]])</f>
        <v>0</v>
      </c>
      <c r="J54" s="232" t="e">
        <f>ETPRECAP[[#This Row],[Heures ETP Encadrement]]/$I$15</f>
        <v>#DIV/0!</v>
      </c>
      <c r="K54" s="231">
        <f>ETPRECAP[[#This Row],[Heures ETP Encadrement]]/RTT!$E$7</f>
        <v>0</v>
      </c>
      <c r="L54" s="24"/>
    </row>
    <row r="55" spans="2:12" x14ac:dyDescent="0.25">
      <c r="B55" s="24" t="s">
        <v>264</v>
      </c>
      <c r="C55" s="24" t="s">
        <v>567</v>
      </c>
      <c r="D55" s="231">
        <f>SUMIF(CCTSAS[Carrière],ETPRECAP[[#This Row],[Carrière]],CCTSAS[heures annuelles
selon contrat(s)])</f>
        <v>0</v>
      </c>
      <c r="E55" s="232" t="e">
        <f>ETPRECAP[[#This Row],[Heures ETP]]/$D$15</f>
        <v>#DIV/0!</v>
      </c>
      <c r="F55" s="231">
        <f>ETPRECAP[[#This Row],[Heures ETP]]/RTT!$E$7</f>
        <v>0</v>
      </c>
      <c r="G55" s="231">
        <f>COUNTIF(CCTSAS[Carrière],ETPRECAP[[#This Row],[Carrière]])</f>
        <v>0</v>
      </c>
      <c r="H55" s="231">
        <f>IF(ETPRECAP[[#This Row],[Nombre empl.]]=0,0,SUMIF(CCTSAS[Carrière],ETPRECAP[[#This Row],[Carrière]],CCTSAS[Années])/ETPRECAP[[#This Row],[Nombre empl.]])</f>
        <v>0</v>
      </c>
      <c r="I55" s="231">
        <f>SUMIFS(CCTSAS[heures annuelles
selon contrat(s)],CCTSAS[Allocation fonctions],"Encadrement",CCTSAS[Carrière],ETPRECAP[[#This Row],[Carrière]])</f>
        <v>0</v>
      </c>
      <c r="J55" s="232" t="e">
        <f>ETPRECAP[[#This Row],[Heures ETP Encadrement]]/$I$15</f>
        <v>#DIV/0!</v>
      </c>
      <c r="K55" s="231">
        <f>ETPRECAP[[#This Row],[Heures ETP Encadrement]]/RTT!$E$7</f>
        <v>0</v>
      </c>
      <c r="L55" s="24"/>
    </row>
    <row r="56" spans="2:12" x14ac:dyDescent="0.25">
      <c r="B56" s="24" t="s">
        <v>265</v>
      </c>
      <c r="C56" s="24" t="s">
        <v>567</v>
      </c>
      <c r="D56" s="231">
        <f>SUMIF(CCTSAS[Carrière],ETPRECAP[[#This Row],[Carrière]],CCTSAS[heures annuelles
selon contrat(s)])</f>
        <v>0</v>
      </c>
      <c r="E56" s="232" t="e">
        <f>ETPRECAP[[#This Row],[Heures ETP]]/$D$15</f>
        <v>#DIV/0!</v>
      </c>
      <c r="F56" s="231">
        <f>ETPRECAP[[#This Row],[Heures ETP]]/RTT!$E$7</f>
        <v>0</v>
      </c>
      <c r="G56" s="231">
        <f>COUNTIF(CCTSAS[Carrière],ETPRECAP[[#This Row],[Carrière]])</f>
        <v>0</v>
      </c>
      <c r="H56" s="231">
        <f>IF(ETPRECAP[[#This Row],[Nombre empl.]]=0,0,SUMIF(CCTSAS[Carrière],ETPRECAP[[#This Row],[Carrière]],CCTSAS[Années])/ETPRECAP[[#This Row],[Nombre empl.]])</f>
        <v>0</v>
      </c>
      <c r="I56" s="231">
        <f>SUMIFS(CCTSAS[heures annuelles
selon contrat(s)],CCTSAS[Allocation fonctions],"Encadrement",CCTSAS[Carrière],ETPRECAP[[#This Row],[Carrière]])</f>
        <v>0</v>
      </c>
      <c r="J56" s="232" t="e">
        <f>ETPRECAP[[#This Row],[Heures ETP Encadrement]]/$I$15</f>
        <v>#DIV/0!</v>
      </c>
      <c r="K56" s="231">
        <f>ETPRECAP[[#This Row],[Heures ETP Encadrement]]/RTT!$E$7</f>
        <v>0</v>
      </c>
      <c r="L56" s="24"/>
    </row>
    <row r="57" spans="2:12" x14ac:dyDescent="0.25">
      <c r="B57" s="24" t="s">
        <v>266</v>
      </c>
      <c r="C57" s="24" t="s">
        <v>567</v>
      </c>
      <c r="D57" s="231">
        <f>SUMIF(CCTSAS[Carrière],ETPRECAP[[#This Row],[Carrière]],CCTSAS[heures annuelles
selon contrat(s)])</f>
        <v>0</v>
      </c>
      <c r="E57" s="232" t="e">
        <f>ETPRECAP[[#This Row],[Heures ETP]]/$D$15</f>
        <v>#DIV/0!</v>
      </c>
      <c r="F57" s="231">
        <f>ETPRECAP[[#This Row],[Heures ETP]]/RTT!$E$7</f>
        <v>0</v>
      </c>
      <c r="G57" s="231">
        <f>COUNTIF(CCTSAS[Carrière],ETPRECAP[[#This Row],[Carrière]])</f>
        <v>0</v>
      </c>
      <c r="H57" s="231">
        <f>IF(ETPRECAP[[#This Row],[Nombre empl.]]=0,0,SUMIF(CCTSAS[Carrière],ETPRECAP[[#This Row],[Carrière]],CCTSAS[Années])/ETPRECAP[[#This Row],[Nombre empl.]])</f>
        <v>0</v>
      </c>
      <c r="I57" s="231">
        <f>SUMIFS(CCTSAS[heures annuelles
selon contrat(s)],CCTSAS[Allocation fonctions],"Encadrement",CCTSAS[Carrière],ETPRECAP[[#This Row],[Carrière]])</f>
        <v>0</v>
      </c>
      <c r="J57" s="232" t="e">
        <f>ETPRECAP[[#This Row],[Heures ETP Encadrement]]/$I$15</f>
        <v>#DIV/0!</v>
      </c>
      <c r="K57" s="231">
        <f>ETPRECAP[[#This Row],[Heures ETP Encadrement]]/RTT!$E$7</f>
        <v>0</v>
      </c>
      <c r="L57" s="24"/>
    </row>
    <row r="58" spans="2:12" x14ac:dyDescent="0.25">
      <c r="B58" s="24" t="s">
        <v>267</v>
      </c>
      <c r="C58" s="24" t="s">
        <v>567</v>
      </c>
      <c r="D58" s="231">
        <f>SUMIF(CCTSAS[Carrière],ETPRECAP[[#This Row],[Carrière]],CCTSAS[heures annuelles
selon contrat(s)])</f>
        <v>0</v>
      </c>
      <c r="E58" s="232" t="e">
        <f>ETPRECAP[[#This Row],[Heures ETP]]/$D$15</f>
        <v>#DIV/0!</v>
      </c>
      <c r="F58" s="231">
        <f>ETPRECAP[[#This Row],[Heures ETP]]/RTT!$E$7</f>
        <v>0</v>
      </c>
      <c r="G58" s="231">
        <f>COUNTIF(CCTSAS[Carrière],ETPRECAP[[#This Row],[Carrière]])</f>
        <v>0</v>
      </c>
      <c r="H58" s="231">
        <f>IF(ETPRECAP[[#This Row],[Nombre empl.]]=0,0,SUMIF(CCTSAS[Carrière],ETPRECAP[[#This Row],[Carrière]],CCTSAS[Années])/ETPRECAP[[#This Row],[Nombre empl.]])</f>
        <v>0</v>
      </c>
      <c r="I58" s="231">
        <f>SUMIFS(CCTSAS[heures annuelles
selon contrat(s)],CCTSAS[Allocation fonctions],"Encadrement",CCTSAS[Carrière],ETPRECAP[[#This Row],[Carrière]])</f>
        <v>0</v>
      </c>
      <c r="J58" s="232" t="e">
        <f>ETPRECAP[[#This Row],[Heures ETP Encadrement]]/$I$15</f>
        <v>#DIV/0!</v>
      </c>
      <c r="K58" s="231">
        <f>ETPRECAP[[#This Row],[Heures ETP Encadrement]]/RTT!$E$7</f>
        <v>0</v>
      </c>
      <c r="L58" s="24"/>
    </row>
    <row r="59" spans="2:12" x14ac:dyDescent="0.25">
      <c r="B59" s="24" t="s">
        <v>268</v>
      </c>
      <c r="C59" s="24" t="s">
        <v>567</v>
      </c>
      <c r="D59" s="231">
        <f>SUMIF(CCTSAS[Carrière],ETPRECAP[[#This Row],[Carrière]],CCTSAS[heures annuelles
selon contrat(s)])</f>
        <v>0</v>
      </c>
      <c r="E59" s="232" t="e">
        <f>ETPRECAP[[#This Row],[Heures ETP]]/$D$15</f>
        <v>#DIV/0!</v>
      </c>
      <c r="F59" s="231">
        <f>ETPRECAP[[#This Row],[Heures ETP]]/RTT!$E$7</f>
        <v>0</v>
      </c>
      <c r="G59" s="231">
        <f>COUNTIF(CCTSAS[Carrière],ETPRECAP[[#This Row],[Carrière]])</f>
        <v>0</v>
      </c>
      <c r="H59" s="231">
        <f>IF(ETPRECAP[[#This Row],[Nombre empl.]]=0,0,SUMIF(CCTSAS[Carrière],ETPRECAP[[#This Row],[Carrière]],CCTSAS[Années])/ETPRECAP[[#This Row],[Nombre empl.]])</f>
        <v>0</v>
      </c>
      <c r="I59" s="231">
        <f>SUMIFS(CCTSAS[heures annuelles
selon contrat(s)],CCTSAS[Allocation fonctions],"Encadrement",CCTSAS[Carrière],ETPRECAP[[#This Row],[Carrière]])</f>
        <v>0</v>
      </c>
      <c r="J59" s="232" t="e">
        <f>ETPRECAP[[#This Row],[Heures ETP Encadrement]]/$I$15</f>
        <v>#DIV/0!</v>
      </c>
      <c r="K59" s="231">
        <f>ETPRECAP[[#This Row],[Heures ETP Encadrement]]/RTT!$E$7</f>
        <v>0</v>
      </c>
      <c r="L59" s="24"/>
    </row>
    <row r="60" spans="2:12" x14ac:dyDescent="0.25">
      <c r="B60" s="24" t="s">
        <v>269</v>
      </c>
      <c r="C60" s="24" t="s">
        <v>567</v>
      </c>
      <c r="D60" s="231">
        <f>SUMIF(CCTSAS[Carrière],ETPRECAP[[#This Row],[Carrière]],CCTSAS[heures annuelles
selon contrat(s)])</f>
        <v>0</v>
      </c>
      <c r="E60" s="232" t="e">
        <f>ETPRECAP[[#This Row],[Heures ETP]]/$D$15</f>
        <v>#DIV/0!</v>
      </c>
      <c r="F60" s="231">
        <f>ETPRECAP[[#This Row],[Heures ETP]]/RTT!$E$7</f>
        <v>0</v>
      </c>
      <c r="G60" s="231">
        <f>COUNTIF(CCTSAS[Carrière],ETPRECAP[[#This Row],[Carrière]])</f>
        <v>0</v>
      </c>
      <c r="H60" s="231">
        <f>IF(ETPRECAP[[#This Row],[Nombre empl.]]=0,0,SUMIF(CCTSAS[Carrière],ETPRECAP[[#This Row],[Carrière]],CCTSAS[Années])/ETPRECAP[[#This Row],[Nombre empl.]])</f>
        <v>0</v>
      </c>
      <c r="I60" s="231">
        <f>SUMIFS(CCTSAS[heures annuelles
selon contrat(s)],CCTSAS[Allocation fonctions],"Encadrement",CCTSAS[Carrière],ETPRECAP[[#This Row],[Carrière]])</f>
        <v>0</v>
      </c>
      <c r="J60" s="232" t="e">
        <f>ETPRECAP[[#This Row],[Heures ETP Encadrement]]/$I$15</f>
        <v>#DIV/0!</v>
      </c>
      <c r="K60" s="231">
        <f>ETPRECAP[[#This Row],[Heures ETP Encadrement]]/RTT!$E$7</f>
        <v>0</v>
      </c>
      <c r="L60" s="24"/>
    </row>
    <row r="61" spans="2:12" x14ac:dyDescent="0.25">
      <c r="B61" s="24" t="s">
        <v>270</v>
      </c>
      <c r="C61" s="24" t="s">
        <v>567</v>
      </c>
      <c r="D61" s="231">
        <f>SUMIF(CCTSAS[Carrière],ETPRECAP[[#This Row],[Carrière]],CCTSAS[heures annuelles
selon contrat(s)])</f>
        <v>0</v>
      </c>
      <c r="E61" s="232" t="e">
        <f>ETPRECAP[[#This Row],[Heures ETP]]/$D$15</f>
        <v>#DIV/0!</v>
      </c>
      <c r="F61" s="231">
        <f>ETPRECAP[[#This Row],[Heures ETP]]/RTT!$E$7</f>
        <v>0</v>
      </c>
      <c r="G61" s="231">
        <f>COUNTIF(CCTSAS[Carrière],ETPRECAP[[#This Row],[Carrière]])</f>
        <v>0</v>
      </c>
      <c r="H61" s="231">
        <f>IF(ETPRECAP[[#This Row],[Nombre empl.]]=0,0,SUMIF(CCTSAS[Carrière],ETPRECAP[[#This Row],[Carrière]],CCTSAS[Années])/ETPRECAP[[#This Row],[Nombre empl.]])</f>
        <v>0</v>
      </c>
      <c r="I61" s="231">
        <f>SUMIFS(CCTSAS[heures annuelles
selon contrat(s)],CCTSAS[Allocation fonctions],"Encadrement",CCTSAS[Carrière],ETPRECAP[[#This Row],[Carrière]])</f>
        <v>0</v>
      </c>
      <c r="J61" s="232" t="e">
        <f>ETPRECAP[[#This Row],[Heures ETP Encadrement]]/$I$15</f>
        <v>#DIV/0!</v>
      </c>
      <c r="K61" s="231">
        <f>ETPRECAP[[#This Row],[Heures ETP Encadrement]]/RTT!$E$7</f>
        <v>0</v>
      </c>
      <c r="L61" s="24"/>
    </row>
    <row r="62" spans="2:12" x14ac:dyDescent="0.25">
      <c r="B62" s="24" t="s">
        <v>271</v>
      </c>
      <c r="C62" s="24" t="s">
        <v>567</v>
      </c>
      <c r="D62" s="231">
        <f>SUMIF(CCTSAS[Carrière],ETPRECAP[[#This Row],[Carrière]],CCTSAS[heures annuelles
selon contrat(s)])</f>
        <v>0</v>
      </c>
      <c r="E62" s="232" t="e">
        <f>ETPRECAP[[#This Row],[Heures ETP]]/$D$15</f>
        <v>#DIV/0!</v>
      </c>
      <c r="F62" s="231">
        <f>ETPRECAP[[#This Row],[Heures ETP]]/RTT!$E$7</f>
        <v>0</v>
      </c>
      <c r="G62" s="231">
        <f>COUNTIF(CCTSAS[Carrière],ETPRECAP[[#This Row],[Carrière]])</f>
        <v>0</v>
      </c>
      <c r="H62" s="231">
        <f>IF(ETPRECAP[[#This Row],[Nombre empl.]]=0,0,SUMIF(CCTSAS[Carrière],ETPRECAP[[#This Row],[Carrière]],CCTSAS[Années])/ETPRECAP[[#This Row],[Nombre empl.]])</f>
        <v>0</v>
      </c>
      <c r="I62" s="231">
        <f>SUMIFS(CCTSAS[heures annuelles
selon contrat(s)],CCTSAS[Allocation fonctions],"Encadrement",CCTSAS[Carrière],ETPRECAP[[#This Row],[Carrière]])</f>
        <v>0</v>
      </c>
      <c r="J62" s="232" t="e">
        <f>ETPRECAP[[#This Row],[Heures ETP Encadrement]]/$I$15</f>
        <v>#DIV/0!</v>
      </c>
      <c r="K62" s="231">
        <f>ETPRECAP[[#This Row],[Heures ETP Encadrement]]/RTT!$E$7</f>
        <v>0</v>
      </c>
      <c r="L62" s="24"/>
    </row>
    <row r="63" spans="2:12" x14ac:dyDescent="0.25">
      <c r="B63" s="24" t="s">
        <v>272</v>
      </c>
      <c r="C63" s="24" t="s">
        <v>567</v>
      </c>
      <c r="D63" s="231">
        <f>SUMIF(CCTSAS[Carrière],ETPRECAP[[#This Row],[Carrière]],CCTSAS[heures annuelles
selon contrat(s)])</f>
        <v>0</v>
      </c>
      <c r="E63" s="232" t="e">
        <f>ETPRECAP[[#This Row],[Heures ETP]]/$D$15</f>
        <v>#DIV/0!</v>
      </c>
      <c r="F63" s="231">
        <f>ETPRECAP[[#This Row],[Heures ETP]]/RTT!$E$7</f>
        <v>0</v>
      </c>
      <c r="G63" s="231">
        <f>COUNTIF(CCTSAS[Carrière],ETPRECAP[[#This Row],[Carrière]])</f>
        <v>0</v>
      </c>
      <c r="H63" s="231">
        <f>IF(ETPRECAP[[#This Row],[Nombre empl.]]=0,0,SUMIF(CCTSAS[Carrière],ETPRECAP[[#This Row],[Carrière]],CCTSAS[Années])/ETPRECAP[[#This Row],[Nombre empl.]])</f>
        <v>0</v>
      </c>
      <c r="I63" s="231">
        <f>SUMIFS(CCTSAS[heures annuelles
selon contrat(s)],CCTSAS[Allocation fonctions],"Encadrement",CCTSAS[Carrière],ETPRECAP[[#This Row],[Carrière]])</f>
        <v>0</v>
      </c>
      <c r="J63" s="232" t="e">
        <f>ETPRECAP[[#This Row],[Heures ETP Encadrement]]/$I$15</f>
        <v>#DIV/0!</v>
      </c>
      <c r="K63" s="231">
        <f>ETPRECAP[[#This Row],[Heures ETP Encadrement]]/RTT!$E$7</f>
        <v>0</v>
      </c>
      <c r="L63" s="24"/>
    </row>
    <row r="64" spans="2:12" x14ac:dyDescent="0.25">
      <c r="B64" s="24" t="s">
        <v>273</v>
      </c>
      <c r="C64" s="24" t="s">
        <v>567</v>
      </c>
      <c r="D64" s="231">
        <f>SUMIF(CCTSAS[Carrière],ETPRECAP[[#This Row],[Carrière]],CCTSAS[heures annuelles
selon contrat(s)])</f>
        <v>0</v>
      </c>
      <c r="E64" s="232" t="e">
        <f>ETPRECAP[[#This Row],[Heures ETP]]/$D$15</f>
        <v>#DIV/0!</v>
      </c>
      <c r="F64" s="231">
        <f>ETPRECAP[[#This Row],[Heures ETP]]/RTT!$E$7</f>
        <v>0</v>
      </c>
      <c r="G64" s="231">
        <f>COUNTIF(CCTSAS[Carrière],ETPRECAP[[#This Row],[Carrière]])</f>
        <v>0</v>
      </c>
      <c r="H64" s="231">
        <f>IF(ETPRECAP[[#This Row],[Nombre empl.]]=0,0,SUMIF(CCTSAS[Carrière],ETPRECAP[[#This Row],[Carrière]],CCTSAS[Années])/ETPRECAP[[#This Row],[Nombre empl.]])</f>
        <v>0</v>
      </c>
      <c r="I64" s="231">
        <f>SUMIFS(CCTSAS[heures annuelles
selon contrat(s)],CCTSAS[Allocation fonctions],"Encadrement",CCTSAS[Carrière],ETPRECAP[[#This Row],[Carrière]])</f>
        <v>0</v>
      </c>
      <c r="J64" s="232" t="e">
        <f>ETPRECAP[[#This Row],[Heures ETP Encadrement]]/$I$15</f>
        <v>#DIV/0!</v>
      </c>
      <c r="K64" s="231">
        <f>ETPRECAP[[#This Row],[Heures ETP Encadrement]]/RTT!$E$7</f>
        <v>0</v>
      </c>
      <c r="L64" s="24"/>
    </row>
    <row r="65" spans="2:12" x14ac:dyDescent="0.25">
      <c r="B65" s="24" t="s">
        <v>274</v>
      </c>
      <c r="C65" s="24" t="s">
        <v>567</v>
      </c>
      <c r="D65" s="231">
        <f>SUMIF(CCTSAS[Carrière],ETPRECAP[[#This Row],[Carrière]],CCTSAS[heures annuelles
selon contrat(s)])</f>
        <v>0</v>
      </c>
      <c r="E65" s="232" t="e">
        <f>ETPRECAP[[#This Row],[Heures ETP]]/$D$15</f>
        <v>#DIV/0!</v>
      </c>
      <c r="F65" s="231">
        <f>ETPRECAP[[#This Row],[Heures ETP]]/RTT!$E$7</f>
        <v>0</v>
      </c>
      <c r="G65" s="231">
        <f>COUNTIF(CCTSAS[Carrière],ETPRECAP[[#This Row],[Carrière]])</f>
        <v>0</v>
      </c>
      <c r="H65" s="231">
        <f>IF(ETPRECAP[[#This Row],[Nombre empl.]]=0,0,SUMIF(CCTSAS[Carrière],ETPRECAP[[#This Row],[Carrière]],CCTSAS[Années])/ETPRECAP[[#This Row],[Nombre empl.]])</f>
        <v>0</v>
      </c>
      <c r="I65" s="231">
        <f>SUMIFS(CCTSAS[heures annuelles
selon contrat(s)],CCTSAS[Allocation fonctions],"Encadrement",CCTSAS[Carrière],ETPRECAP[[#This Row],[Carrière]])</f>
        <v>0</v>
      </c>
      <c r="J65" s="232" t="e">
        <f>ETPRECAP[[#This Row],[Heures ETP Encadrement]]/$I$15</f>
        <v>#DIV/0!</v>
      </c>
      <c r="K65" s="231">
        <f>ETPRECAP[[#This Row],[Heures ETP Encadrement]]/RTT!$E$7</f>
        <v>0</v>
      </c>
      <c r="L65" s="24"/>
    </row>
    <row r="66" spans="2:12" x14ac:dyDescent="0.25">
      <c r="B66" s="24" t="s">
        <v>275</v>
      </c>
      <c r="C66" s="24" t="s">
        <v>567</v>
      </c>
      <c r="D66" s="231">
        <f>SUMIF(CCTSAS[Carrière],ETPRECAP[[#This Row],[Carrière]],CCTSAS[heures annuelles
selon contrat(s)])</f>
        <v>0</v>
      </c>
      <c r="E66" s="232" t="e">
        <f>ETPRECAP[[#This Row],[Heures ETP]]/$D$15</f>
        <v>#DIV/0!</v>
      </c>
      <c r="F66" s="231">
        <f>ETPRECAP[[#This Row],[Heures ETP]]/RTT!$E$7</f>
        <v>0</v>
      </c>
      <c r="G66" s="231">
        <f>COUNTIF(CCTSAS[Carrière],ETPRECAP[[#This Row],[Carrière]])</f>
        <v>0</v>
      </c>
      <c r="H66" s="231">
        <f>IF(ETPRECAP[[#This Row],[Nombre empl.]]=0,0,SUMIF(CCTSAS[Carrière],ETPRECAP[[#This Row],[Carrière]],CCTSAS[Années])/ETPRECAP[[#This Row],[Nombre empl.]])</f>
        <v>0</v>
      </c>
      <c r="I66" s="231">
        <f>SUMIFS(CCTSAS[heures annuelles
selon contrat(s)],CCTSAS[Allocation fonctions],"Encadrement",CCTSAS[Carrière],ETPRECAP[[#This Row],[Carrière]])</f>
        <v>0</v>
      </c>
      <c r="J66" s="232" t="e">
        <f>ETPRECAP[[#This Row],[Heures ETP Encadrement]]/$I$15</f>
        <v>#DIV/0!</v>
      </c>
      <c r="K66" s="231">
        <f>ETPRECAP[[#This Row],[Heures ETP Encadrement]]/RTT!$E$7</f>
        <v>0</v>
      </c>
      <c r="L66" s="24"/>
    </row>
    <row r="67" spans="2:12" x14ac:dyDescent="0.25">
      <c r="B67" s="24" t="s">
        <v>276</v>
      </c>
      <c r="C67" s="24" t="s">
        <v>567</v>
      </c>
      <c r="D67" s="231">
        <f>SUMIF(CCTSAS[Carrière],ETPRECAP[[#This Row],[Carrière]],CCTSAS[heures annuelles
selon contrat(s)])</f>
        <v>0</v>
      </c>
      <c r="E67" s="232" t="e">
        <f>ETPRECAP[[#This Row],[Heures ETP]]/$D$15</f>
        <v>#DIV/0!</v>
      </c>
      <c r="F67" s="231">
        <f>ETPRECAP[[#This Row],[Heures ETP]]/RTT!$E$7</f>
        <v>0</v>
      </c>
      <c r="G67" s="231">
        <f>COUNTIF(CCTSAS[Carrière],ETPRECAP[[#This Row],[Carrière]])</f>
        <v>0</v>
      </c>
      <c r="H67" s="231">
        <f>IF(ETPRECAP[[#This Row],[Nombre empl.]]=0,0,SUMIF(CCTSAS[Carrière],ETPRECAP[[#This Row],[Carrière]],CCTSAS[Années])/ETPRECAP[[#This Row],[Nombre empl.]])</f>
        <v>0</v>
      </c>
      <c r="I67" s="231">
        <f>SUMIFS(CCTSAS[heures annuelles
selon contrat(s)],CCTSAS[Allocation fonctions],"Encadrement",CCTSAS[Carrière],ETPRECAP[[#This Row],[Carrière]])</f>
        <v>0</v>
      </c>
      <c r="J67" s="232" t="e">
        <f>ETPRECAP[[#This Row],[Heures ETP Encadrement]]/$I$15</f>
        <v>#DIV/0!</v>
      </c>
      <c r="K67" s="231">
        <f>ETPRECAP[[#This Row],[Heures ETP Encadrement]]/RTT!$E$7</f>
        <v>0</v>
      </c>
      <c r="L67" s="24"/>
    </row>
    <row r="68" spans="2:12" x14ac:dyDescent="0.25">
      <c r="B68" s="24" t="s">
        <v>277</v>
      </c>
      <c r="C68" s="24" t="s">
        <v>567</v>
      </c>
      <c r="D68" s="231">
        <f>SUMIF(CCTSAS[Carrière],ETPRECAP[[#This Row],[Carrière]],CCTSAS[heures annuelles
selon contrat(s)])</f>
        <v>0</v>
      </c>
      <c r="E68" s="232" t="e">
        <f>ETPRECAP[[#This Row],[Heures ETP]]/$D$15</f>
        <v>#DIV/0!</v>
      </c>
      <c r="F68" s="231">
        <f>ETPRECAP[[#This Row],[Heures ETP]]/RTT!$E$7</f>
        <v>0</v>
      </c>
      <c r="G68" s="231">
        <f>COUNTIF(CCTSAS[Carrière],ETPRECAP[[#This Row],[Carrière]])</f>
        <v>0</v>
      </c>
      <c r="H68" s="231">
        <f>IF(ETPRECAP[[#This Row],[Nombre empl.]]=0,0,SUMIF(CCTSAS[Carrière],ETPRECAP[[#This Row],[Carrière]],CCTSAS[Années])/ETPRECAP[[#This Row],[Nombre empl.]])</f>
        <v>0</v>
      </c>
      <c r="I68" s="231">
        <f>SUMIFS(CCTSAS[heures annuelles
selon contrat(s)],CCTSAS[Allocation fonctions],"Encadrement",CCTSAS[Carrière],ETPRECAP[[#This Row],[Carrière]])</f>
        <v>0</v>
      </c>
      <c r="J68" s="232" t="e">
        <f>ETPRECAP[[#This Row],[Heures ETP Encadrement]]/$I$15</f>
        <v>#DIV/0!</v>
      </c>
      <c r="K68" s="231">
        <f>ETPRECAP[[#This Row],[Heures ETP Encadrement]]/RTT!$E$7</f>
        <v>0</v>
      </c>
      <c r="L68" s="24"/>
    </row>
    <row r="69" spans="2:12" x14ac:dyDescent="0.25">
      <c r="B69" s="24" t="s">
        <v>278</v>
      </c>
      <c r="C69" s="24" t="s">
        <v>567</v>
      </c>
      <c r="D69" s="231">
        <f>SUMIF(CCTSAS[Carrière],ETPRECAP[[#This Row],[Carrière]],CCTSAS[heures annuelles
selon contrat(s)])</f>
        <v>0</v>
      </c>
      <c r="E69" s="232" t="e">
        <f>ETPRECAP[[#This Row],[Heures ETP]]/$D$15</f>
        <v>#DIV/0!</v>
      </c>
      <c r="F69" s="231">
        <f>ETPRECAP[[#This Row],[Heures ETP]]/RTT!$E$7</f>
        <v>0</v>
      </c>
      <c r="G69" s="231">
        <f>COUNTIF(CCTSAS[Carrière],ETPRECAP[[#This Row],[Carrière]])</f>
        <v>0</v>
      </c>
      <c r="H69" s="231">
        <f>IF(ETPRECAP[[#This Row],[Nombre empl.]]=0,0,SUMIF(CCTSAS[Carrière],ETPRECAP[[#This Row],[Carrière]],CCTSAS[Années])/ETPRECAP[[#This Row],[Nombre empl.]])</f>
        <v>0</v>
      </c>
      <c r="I69" s="231">
        <f>SUMIFS(CCTSAS[heures annuelles
selon contrat(s)],CCTSAS[Allocation fonctions],"Encadrement",CCTSAS[Carrière],ETPRECAP[[#This Row],[Carrière]])</f>
        <v>0</v>
      </c>
      <c r="J69" s="232" t="e">
        <f>ETPRECAP[[#This Row],[Heures ETP Encadrement]]/$I$15</f>
        <v>#DIV/0!</v>
      </c>
      <c r="K69" s="231">
        <f>ETPRECAP[[#This Row],[Heures ETP Encadrement]]/RTT!$E$7</f>
        <v>0</v>
      </c>
      <c r="L69" s="24"/>
    </row>
    <row r="70" spans="2:12" x14ac:dyDescent="0.25">
      <c r="B70" s="24" t="s">
        <v>279</v>
      </c>
      <c r="C70" s="24" t="s">
        <v>567</v>
      </c>
      <c r="D70" s="231">
        <f>SUMIF(CCTSAS[Carrière],ETPRECAP[[#This Row],[Carrière]],CCTSAS[heures annuelles
selon contrat(s)])</f>
        <v>0</v>
      </c>
      <c r="E70" s="232" t="e">
        <f>ETPRECAP[[#This Row],[Heures ETP]]/$D$15</f>
        <v>#DIV/0!</v>
      </c>
      <c r="F70" s="231">
        <f>ETPRECAP[[#This Row],[Heures ETP]]/RTT!$E$7</f>
        <v>0</v>
      </c>
      <c r="G70" s="231">
        <f>COUNTIF(CCTSAS[Carrière],ETPRECAP[[#This Row],[Carrière]])</f>
        <v>0</v>
      </c>
      <c r="H70" s="231">
        <f>IF(ETPRECAP[[#This Row],[Nombre empl.]]=0,0,SUMIF(CCTSAS[Carrière],ETPRECAP[[#This Row],[Carrière]],CCTSAS[Années])/ETPRECAP[[#This Row],[Nombre empl.]])</f>
        <v>0</v>
      </c>
      <c r="I70" s="231">
        <f>SUMIFS(CCTSAS[heures annuelles
selon contrat(s)],CCTSAS[Allocation fonctions],"Encadrement",CCTSAS[Carrière],ETPRECAP[[#This Row],[Carrière]])</f>
        <v>0</v>
      </c>
      <c r="J70" s="232" t="e">
        <f>ETPRECAP[[#This Row],[Heures ETP Encadrement]]/$I$15</f>
        <v>#DIV/0!</v>
      </c>
      <c r="K70" s="231">
        <f>ETPRECAP[[#This Row],[Heures ETP Encadrement]]/RTT!$E$7</f>
        <v>0</v>
      </c>
      <c r="L70" s="24"/>
    </row>
    <row r="71" spans="2:12" x14ac:dyDescent="0.25">
      <c r="B71" s="24" t="s">
        <v>280</v>
      </c>
      <c r="C71" s="24" t="s">
        <v>567</v>
      </c>
      <c r="D71" s="231">
        <f>SUMIF(CCTSAS[Carrière],ETPRECAP[[#This Row],[Carrière]],CCTSAS[heures annuelles
selon contrat(s)])</f>
        <v>0</v>
      </c>
      <c r="E71" s="232" t="e">
        <f>ETPRECAP[[#This Row],[Heures ETP]]/$D$15</f>
        <v>#DIV/0!</v>
      </c>
      <c r="F71" s="231">
        <f>ETPRECAP[[#This Row],[Heures ETP]]/RTT!$E$7</f>
        <v>0</v>
      </c>
      <c r="G71" s="231">
        <f>COUNTIF(CCTSAS[Carrière],ETPRECAP[[#This Row],[Carrière]])</f>
        <v>0</v>
      </c>
      <c r="H71" s="231">
        <f>IF(ETPRECAP[[#This Row],[Nombre empl.]]=0,0,SUMIF(CCTSAS[Carrière],ETPRECAP[[#This Row],[Carrière]],CCTSAS[Années])/ETPRECAP[[#This Row],[Nombre empl.]])</f>
        <v>0</v>
      </c>
      <c r="I71" s="231">
        <f>SUMIFS(CCTSAS[heures annuelles
selon contrat(s)],CCTSAS[Allocation fonctions],"Encadrement",CCTSAS[Carrière],ETPRECAP[[#This Row],[Carrière]])</f>
        <v>0</v>
      </c>
      <c r="J71" s="232" t="e">
        <f>ETPRECAP[[#This Row],[Heures ETP Encadrement]]/$I$15</f>
        <v>#DIV/0!</v>
      </c>
      <c r="K71" s="231">
        <f>ETPRECAP[[#This Row],[Heures ETP Encadrement]]/RTT!$E$7</f>
        <v>0</v>
      </c>
      <c r="L71" s="24"/>
    </row>
    <row r="72" spans="2:12" x14ac:dyDescent="0.25">
      <c r="B72" s="24" t="s">
        <v>281</v>
      </c>
      <c r="C72" s="24" t="s">
        <v>567</v>
      </c>
      <c r="D72" s="231">
        <f>SUMIF(CCTSAS[Carrière],ETPRECAP[[#This Row],[Carrière]],CCTSAS[heures annuelles
selon contrat(s)])</f>
        <v>0</v>
      </c>
      <c r="E72" s="232" t="e">
        <f>ETPRECAP[[#This Row],[Heures ETP]]/$D$15</f>
        <v>#DIV/0!</v>
      </c>
      <c r="F72" s="231">
        <f>ETPRECAP[[#This Row],[Heures ETP]]/RTT!$E$7</f>
        <v>0</v>
      </c>
      <c r="G72" s="231">
        <f>COUNTIF(CCTSAS[Carrière],ETPRECAP[[#This Row],[Carrière]])</f>
        <v>0</v>
      </c>
      <c r="H72" s="231">
        <f>IF(ETPRECAP[[#This Row],[Nombre empl.]]=0,0,SUMIF(CCTSAS[Carrière],ETPRECAP[[#This Row],[Carrière]],CCTSAS[Années])/ETPRECAP[[#This Row],[Nombre empl.]])</f>
        <v>0</v>
      </c>
      <c r="I72" s="231">
        <f>SUMIFS(CCTSAS[heures annuelles
selon contrat(s)],CCTSAS[Allocation fonctions],"Encadrement",CCTSAS[Carrière],ETPRECAP[[#This Row],[Carrière]])</f>
        <v>0</v>
      </c>
      <c r="J72" s="232" t="e">
        <f>ETPRECAP[[#This Row],[Heures ETP Encadrement]]/$I$15</f>
        <v>#DIV/0!</v>
      </c>
      <c r="K72" s="231">
        <f>ETPRECAP[[#This Row],[Heures ETP Encadrement]]/RTT!$E$7</f>
        <v>0</v>
      </c>
      <c r="L72" s="24"/>
    </row>
    <row r="73" spans="2:12" x14ac:dyDescent="0.25">
      <c r="B73" s="24" t="s">
        <v>282</v>
      </c>
      <c r="C73" s="24" t="s">
        <v>567</v>
      </c>
      <c r="D73" s="231">
        <f>SUMIF(CCTSAS[Carrière],ETPRECAP[[#This Row],[Carrière]],CCTSAS[heures annuelles
selon contrat(s)])</f>
        <v>0</v>
      </c>
      <c r="E73" s="232" t="e">
        <f>ETPRECAP[[#This Row],[Heures ETP]]/$D$15</f>
        <v>#DIV/0!</v>
      </c>
      <c r="F73" s="231">
        <f>ETPRECAP[[#This Row],[Heures ETP]]/RTT!$E$7</f>
        <v>0</v>
      </c>
      <c r="G73" s="231">
        <f>COUNTIF(CCTSAS[Carrière],ETPRECAP[[#This Row],[Carrière]])</f>
        <v>0</v>
      </c>
      <c r="H73" s="231">
        <f>IF(ETPRECAP[[#This Row],[Nombre empl.]]=0,0,SUMIF(CCTSAS[Carrière],ETPRECAP[[#This Row],[Carrière]],CCTSAS[Années])/ETPRECAP[[#This Row],[Nombre empl.]])</f>
        <v>0</v>
      </c>
      <c r="I73" s="231">
        <f>SUMIFS(CCTSAS[heures annuelles
selon contrat(s)],CCTSAS[Allocation fonctions],"Encadrement",CCTSAS[Carrière],ETPRECAP[[#This Row],[Carrière]])</f>
        <v>0</v>
      </c>
      <c r="J73" s="232" t="e">
        <f>ETPRECAP[[#This Row],[Heures ETP Encadrement]]/$I$15</f>
        <v>#DIV/0!</v>
      </c>
      <c r="K73" s="231">
        <f>ETPRECAP[[#This Row],[Heures ETP Encadrement]]/RTT!$E$7</f>
        <v>0</v>
      </c>
      <c r="L73" s="24"/>
    </row>
    <row r="74" spans="2:12" x14ac:dyDescent="0.25">
      <c r="B74" s="24" t="s">
        <v>283</v>
      </c>
      <c r="C74" s="24" t="s">
        <v>567</v>
      </c>
      <c r="D74" s="231">
        <f>SUMIF(CCTSAS[Carrière],ETPRECAP[[#This Row],[Carrière]],CCTSAS[heures annuelles
selon contrat(s)])</f>
        <v>0</v>
      </c>
      <c r="E74" s="232" t="e">
        <f>ETPRECAP[[#This Row],[Heures ETP]]/$D$15</f>
        <v>#DIV/0!</v>
      </c>
      <c r="F74" s="231">
        <f>ETPRECAP[[#This Row],[Heures ETP]]/RTT!$E$7</f>
        <v>0</v>
      </c>
      <c r="G74" s="231">
        <f>COUNTIF(CCTSAS[Carrière],ETPRECAP[[#This Row],[Carrière]])</f>
        <v>0</v>
      </c>
      <c r="H74" s="231">
        <f>IF(ETPRECAP[[#This Row],[Nombre empl.]]=0,0,SUMIF(CCTSAS[Carrière],ETPRECAP[[#This Row],[Carrière]],CCTSAS[Années])/ETPRECAP[[#This Row],[Nombre empl.]])</f>
        <v>0</v>
      </c>
      <c r="I74" s="231">
        <f>SUMIFS(CCTSAS[heures annuelles
selon contrat(s)],CCTSAS[Allocation fonctions],"Encadrement",CCTSAS[Carrière],ETPRECAP[[#This Row],[Carrière]])</f>
        <v>0</v>
      </c>
      <c r="J74" s="232" t="e">
        <f>ETPRECAP[[#This Row],[Heures ETP Encadrement]]/$I$15</f>
        <v>#DIV/0!</v>
      </c>
      <c r="K74" s="231">
        <f>ETPRECAP[[#This Row],[Heures ETP Encadrement]]/RTT!$E$7</f>
        <v>0</v>
      </c>
      <c r="L74" s="24"/>
    </row>
    <row r="75" spans="2:12" x14ac:dyDescent="0.25">
      <c r="B75" s="24" t="s">
        <v>284</v>
      </c>
      <c r="C75" s="24" t="s">
        <v>567</v>
      </c>
      <c r="D75" s="231">
        <f>SUMIF(CCTSAS[Carrière],ETPRECAP[[#This Row],[Carrière]],CCTSAS[heures annuelles
selon contrat(s)])</f>
        <v>0</v>
      </c>
      <c r="E75" s="232" t="e">
        <f>ETPRECAP[[#This Row],[Heures ETP]]/$D$15</f>
        <v>#DIV/0!</v>
      </c>
      <c r="F75" s="231">
        <f>ETPRECAP[[#This Row],[Heures ETP]]/RTT!$E$7</f>
        <v>0</v>
      </c>
      <c r="G75" s="231">
        <f>COUNTIF(CCTSAS[Carrière],ETPRECAP[[#This Row],[Carrière]])</f>
        <v>0</v>
      </c>
      <c r="H75" s="231">
        <f>IF(ETPRECAP[[#This Row],[Nombre empl.]]=0,0,SUMIF(CCTSAS[Carrière],ETPRECAP[[#This Row],[Carrière]],CCTSAS[Années])/ETPRECAP[[#This Row],[Nombre empl.]])</f>
        <v>0</v>
      </c>
      <c r="I75" s="231">
        <f>SUMIFS(CCTSAS[heures annuelles
selon contrat(s)],CCTSAS[Allocation fonctions],"Encadrement",CCTSAS[Carrière],ETPRECAP[[#This Row],[Carrière]])</f>
        <v>0</v>
      </c>
      <c r="J75" s="232" t="e">
        <f>ETPRECAP[[#This Row],[Heures ETP Encadrement]]/$I$15</f>
        <v>#DIV/0!</v>
      </c>
      <c r="K75" s="231">
        <f>ETPRECAP[[#This Row],[Heures ETP Encadrement]]/RTT!$E$7</f>
        <v>0</v>
      </c>
      <c r="L75" s="24"/>
    </row>
    <row r="76" spans="2:12" x14ac:dyDescent="0.25">
      <c r="B76" s="24" t="s">
        <v>285</v>
      </c>
      <c r="C76" s="24" t="s">
        <v>567</v>
      </c>
      <c r="D76" s="231">
        <f>SUMIF(CCTSAS[Carrière],ETPRECAP[[#This Row],[Carrière]],CCTSAS[heures annuelles
selon contrat(s)])</f>
        <v>0</v>
      </c>
      <c r="E76" s="232" t="e">
        <f>ETPRECAP[[#This Row],[Heures ETP]]/$D$15</f>
        <v>#DIV/0!</v>
      </c>
      <c r="F76" s="231">
        <f>ETPRECAP[[#This Row],[Heures ETP]]/RTT!$E$7</f>
        <v>0</v>
      </c>
      <c r="G76" s="231">
        <f>COUNTIF(CCTSAS[Carrière],ETPRECAP[[#This Row],[Carrière]])</f>
        <v>0</v>
      </c>
      <c r="H76" s="231">
        <f>IF(ETPRECAP[[#This Row],[Nombre empl.]]=0,0,SUMIF(CCTSAS[Carrière],ETPRECAP[[#This Row],[Carrière]],CCTSAS[Années])/ETPRECAP[[#This Row],[Nombre empl.]])</f>
        <v>0</v>
      </c>
      <c r="I76" s="231">
        <f>SUMIFS(CCTSAS[heures annuelles
selon contrat(s)],CCTSAS[Allocation fonctions],"Encadrement",CCTSAS[Carrière],ETPRECAP[[#This Row],[Carrière]])</f>
        <v>0</v>
      </c>
      <c r="J76" s="232" t="e">
        <f>ETPRECAP[[#This Row],[Heures ETP Encadrement]]/$I$15</f>
        <v>#DIV/0!</v>
      </c>
      <c r="K76" s="231">
        <f>ETPRECAP[[#This Row],[Heures ETP Encadrement]]/RTT!$E$7</f>
        <v>0</v>
      </c>
      <c r="L76" s="24"/>
    </row>
    <row r="77" spans="2:12" x14ac:dyDescent="0.25">
      <c r="B77" s="24" t="s">
        <v>286</v>
      </c>
      <c r="C77" s="24" t="s">
        <v>567</v>
      </c>
      <c r="D77" s="231">
        <f>SUMIF(CCTSAS[Carrière],ETPRECAP[[#This Row],[Carrière]],CCTSAS[heures annuelles
selon contrat(s)])</f>
        <v>0</v>
      </c>
      <c r="E77" s="232" t="e">
        <f>ETPRECAP[[#This Row],[Heures ETP]]/$D$15</f>
        <v>#DIV/0!</v>
      </c>
      <c r="F77" s="231">
        <f>ETPRECAP[[#This Row],[Heures ETP]]/RTT!$E$7</f>
        <v>0</v>
      </c>
      <c r="G77" s="231">
        <f>COUNTIF(CCTSAS[Carrière],ETPRECAP[[#This Row],[Carrière]])</f>
        <v>0</v>
      </c>
      <c r="H77" s="231">
        <f>IF(ETPRECAP[[#This Row],[Nombre empl.]]=0,0,SUMIF(CCTSAS[Carrière],ETPRECAP[[#This Row],[Carrière]],CCTSAS[Années])/ETPRECAP[[#This Row],[Nombre empl.]])</f>
        <v>0</v>
      </c>
      <c r="I77" s="231">
        <f>SUMIFS(CCTSAS[heures annuelles
selon contrat(s)],CCTSAS[Allocation fonctions],"Encadrement",CCTSAS[Carrière],ETPRECAP[[#This Row],[Carrière]])</f>
        <v>0</v>
      </c>
      <c r="J77" s="232" t="e">
        <f>ETPRECAP[[#This Row],[Heures ETP Encadrement]]/$I$15</f>
        <v>#DIV/0!</v>
      </c>
      <c r="K77" s="231">
        <f>ETPRECAP[[#This Row],[Heures ETP Encadrement]]/RTT!$E$7</f>
        <v>0</v>
      </c>
      <c r="L77" s="24"/>
    </row>
    <row r="78" spans="2:12" x14ac:dyDescent="0.25">
      <c r="B78" s="24" t="s">
        <v>287</v>
      </c>
      <c r="C78" s="24" t="s">
        <v>567</v>
      </c>
      <c r="D78" s="231">
        <f>SUMIF(CCTSAS[Carrière],ETPRECAP[[#This Row],[Carrière]],CCTSAS[heures annuelles
selon contrat(s)])</f>
        <v>0</v>
      </c>
      <c r="E78" s="232" t="e">
        <f>ETPRECAP[[#This Row],[Heures ETP]]/$D$15</f>
        <v>#DIV/0!</v>
      </c>
      <c r="F78" s="231">
        <f>ETPRECAP[[#This Row],[Heures ETP]]/RTT!$E$7</f>
        <v>0</v>
      </c>
      <c r="G78" s="231">
        <f>COUNTIF(CCTSAS[Carrière],ETPRECAP[[#This Row],[Carrière]])</f>
        <v>0</v>
      </c>
      <c r="H78" s="231">
        <f>IF(ETPRECAP[[#This Row],[Nombre empl.]]=0,0,SUMIF(CCTSAS[Carrière],ETPRECAP[[#This Row],[Carrière]],CCTSAS[Années])/ETPRECAP[[#This Row],[Nombre empl.]])</f>
        <v>0</v>
      </c>
      <c r="I78" s="231">
        <f>SUMIFS(CCTSAS[heures annuelles
selon contrat(s)],CCTSAS[Allocation fonctions],"Encadrement",CCTSAS[Carrière],ETPRECAP[[#This Row],[Carrière]])</f>
        <v>0</v>
      </c>
      <c r="J78" s="232" t="e">
        <f>ETPRECAP[[#This Row],[Heures ETP Encadrement]]/$I$15</f>
        <v>#DIV/0!</v>
      </c>
      <c r="K78" s="231">
        <f>ETPRECAP[[#This Row],[Heures ETP Encadrement]]/RTT!$E$7</f>
        <v>0</v>
      </c>
      <c r="L78" s="24"/>
    </row>
    <row r="79" spans="2:12" x14ac:dyDescent="0.25">
      <c r="B79" s="24" t="s">
        <v>288</v>
      </c>
      <c r="C79" s="24" t="s">
        <v>567</v>
      </c>
      <c r="D79" s="231">
        <f>SUMIF(CCTSAS[Carrière],ETPRECAP[[#This Row],[Carrière]],CCTSAS[heures annuelles
selon contrat(s)])</f>
        <v>0</v>
      </c>
      <c r="E79" s="232" t="e">
        <f>ETPRECAP[[#This Row],[Heures ETP]]/$D$15</f>
        <v>#DIV/0!</v>
      </c>
      <c r="F79" s="231">
        <f>ETPRECAP[[#This Row],[Heures ETP]]/RTT!$E$7</f>
        <v>0</v>
      </c>
      <c r="G79" s="231">
        <f>COUNTIF(CCTSAS[Carrière],ETPRECAP[[#This Row],[Carrière]])</f>
        <v>0</v>
      </c>
      <c r="H79" s="231">
        <f>IF(ETPRECAP[[#This Row],[Nombre empl.]]=0,0,SUMIF(CCTSAS[Carrière],ETPRECAP[[#This Row],[Carrière]],CCTSAS[Années])/ETPRECAP[[#This Row],[Nombre empl.]])</f>
        <v>0</v>
      </c>
      <c r="I79" s="231">
        <f>SUMIFS(CCTSAS[heures annuelles
selon contrat(s)],CCTSAS[Allocation fonctions],"Encadrement",CCTSAS[Carrière],ETPRECAP[[#This Row],[Carrière]])</f>
        <v>0</v>
      </c>
      <c r="J79" s="232" t="e">
        <f>ETPRECAP[[#This Row],[Heures ETP Encadrement]]/$I$15</f>
        <v>#DIV/0!</v>
      </c>
      <c r="K79" s="231">
        <f>ETPRECAP[[#This Row],[Heures ETP Encadrement]]/RTT!$E$7</f>
        <v>0</v>
      </c>
      <c r="L79" s="24"/>
    </row>
    <row r="80" spans="2:12" x14ac:dyDescent="0.25">
      <c r="B80" s="24" t="s">
        <v>289</v>
      </c>
      <c r="C80" s="24" t="s">
        <v>567</v>
      </c>
      <c r="D80" s="231">
        <f>SUMIF(CCTSAS[Carrière],ETPRECAP[[#This Row],[Carrière]],CCTSAS[heures annuelles
selon contrat(s)])</f>
        <v>0</v>
      </c>
      <c r="E80" s="232" t="e">
        <f>ETPRECAP[[#This Row],[Heures ETP]]/$D$15</f>
        <v>#DIV/0!</v>
      </c>
      <c r="F80" s="231">
        <f>ETPRECAP[[#This Row],[Heures ETP]]/RTT!$E$7</f>
        <v>0</v>
      </c>
      <c r="G80" s="231">
        <f>COUNTIF(CCTSAS[Carrière],ETPRECAP[[#This Row],[Carrière]])</f>
        <v>0</v>
      </c>
      <c r="H80" s="231">
        <f>IF(ETPRECAP[[#This Row],[Nombre empl.]]=0,0,SUMIF(CCTSAS[Carrière],ETPRECAP[[#This Row],[Carrière]],CCTSAS[Années])/ETPRECAP[[#This Row],[Nombre empl.]])</f>
        <v>0</v>
      </c>
      <c r="I80" s="231">
        <f>SUMIFS(CCTSAS[heures annuelles
selon contrat(s)],CCTSAS[Allocation fonctions],"Encadrement",CCTSAS[Carrière],ETPRECAP[[#This Row],[Carrière]])</f>
        <v>0</v>
      </c>
      <c r="J80" s="232" t="e">
        <f>ETPRECAP[[#This Row],[Heures ETP Encadrement]]/$I$15</f>
        <v>#DIV/0!</v>
      </c>
      <c r="K80" s="231">
        <f>ETPRECAP[[#This Row],[Heures ETP Encadrement]]/RTT!$E$7</f>
        <v>0</v>
      </c>
      <c r="L80" s="24"/>
    </row>
    <row r="81" spans="2:12" x14ac:dyDescent="0.25">
      <c r="B81" s="24" t="s">
        <v>290</v>
      </c>
      <c r="C81" s="24" t="s">
        <v>567</v>
      </c>
      <c r="D81" s="231">
        <f>SUMIF(CCTSAS[Carrière],ETPRECAP[[#This Row],[Carrière]],CCTSAS[heures annuelles
selon contrat(s)])</f>
        <v>0</v>
      </c>
      <c r="E81" s="232" t="e">
        <f>ETPRECAP[[#This Row],[Heures ETP]]/$D$15</f>
        <v>#DIV/0!</v>
      </c>
      <c r="F81" s="231">
        <f>ETPRECAP[[#This Row],[Heures ETP]]/RTT!$E$7</f>
        <v>0</v>
      </c>
      <c r="G81" s="231">
        <f>COUNTIF(CCTSAS[Carrière],ETPRECAP[[#This Row],[Carrière]])</f>
        <v>0</v>
      </c>
      <c r="H81" s="231">
        <f>IF(ETPRECAP[[#This Row],[Nombre empl.]]=0,0,SUMIF(CCTSAS[Carrière],ETPRECAP[[#This Row],[Carrière]],CCTSAS[Années])/ETPRECAP[[#This Row],[Nombre empl.]])</f>
        <v>0</v>
      </c>
      <c r="I81" s="231">
        <f>SUMIFS(CCTSAS[heures annuelles
selon contrat(s)],CCTSAS[Allocation fonctions],"Encadrement",CCTSAS[Carrière],ETPRECAP[[#This Row],[Carrière]])</f>
        <v>0</v>
      </c>
      <c r="J81" s="232" t="e">
        <f>ETPRECAP[[#This Row],[Heures ETP Encadrement]]/$I$15</f>
        <v>#DIV/0!</v>
      </c>
      <c r="K81" s="231">
        <f>ETPRECAP[[#This Row],[Heures ETP Encadrement]]/RTT!$E$7</f>
        <v>0</v>
      </c>
      <c r="L81" s="24"/>
    </row>
    <row r="82" spans="2:12" x14ac:dyDescent="0.25">
      <c r="B82" s="24" t="s">
        <v>291</v>
      </c>
      <c r="C82" s="24" t="s">
        <v>567</v>
      </c>
      <c r="D82" s="231">
        <f>SUMIF(CCTSAS[Carrière],ETPRECAP[[#This Row],[Carrière]],CCTSAS[heures annuelles
selon contrat(s)])</f>
        <v>0</v>
      </c>
      <c r="E82" s="232" t="e">
        <f>ETPRECAP[[#This Row],[Heures ETP]]/$D$15</f>
        <v>#DIV/0!</v>
      </c>
      <c r="F82" s="231">
        <f>ETPRECAP[[#This Row],[Heures ETP]]/RTT!$E$7</f>
        <v>0</v>
      </c>
      <c r="G82" s="231">
        <f>COUNTIF(CCTSAS[Carrière],ETPRECAP[[#This Row],[Carrière]])</f>
        <v>0</v>
      </c>
      <c r="H82" s="231">
        <f>IF(ETPRECAP[[#This Row],[Nombre empl.]]=0,0,SUMIF(CCTSAS[Carrière],ETPRECAP[[#This Row],[Carrière]],CCTSAS[Années])/ETPRECAP[[#This Row],[Nombre empl.]])</f>
        <v>0</v>
      </c>
      <c r="I82" s="231">
        <f>SUMIFS(CCTSAS[heures annuelles
selon contrat(s)],CCTSAS[Allocation fonctions],"Encadrement",CCTSAS[Carrière],ETPRECAP[[#This Row],[Carrière]])</f>
        <v>0</v>
      </c>
      <c r="J82" s="232" t="e">
        <f>ETPRECAP[[#This Row],[Heures ETP Encadrement]]/$I$15</f>
        <v>#DIV/0!</v>
      </c>
      <c r="K82" s="231">
        <f>ETPRECAP[[#This Row],[Heures ETP Encadrement]]/RTT!$E$7</f>
        <v>0</v>
      </c>
      <c r="L82" s="24"/>
    </row>
    <row r="83" spans="2:12" x14ac:dyDescent="0.25">
      <c r="B83" s="24" t="s">
        <v>292</v>
      </c>
      <c r="C83" s="24" t="s">
        <v>567</v>
      </c>
      <c r="D83" s="231">
        <f>SUMIF(CCTSAS[Carrière],ETPRECAP[[#This Row],[Carrière]],CCTSAS[heures annuelles
selon contrat(s)])</f>
        <v>0</v>
      </c>
      <c r="E83" s="232" t="e">
        <f>ETPRECAP[[#This Row],[Heures ETP]]/$D$15</f>
        <v>#DIV/0!</v>
      </c>
      <c r="F83" s="231">
        <f>ETPRECAP[[#This Row],[Heures ETP]]/RTT!$E$7</f>
        <v>0</v>
      </c>
      <c r="G83" s="231">
        <f>COUNTIF(CCTSAS[Carrière],ETPRECAP[[#This Row],[Carrière]])</f>
        <v>0</v>
      </c>
      <c r="H83" s="231">
        <f>IF(ETPRECAP[[#This Row],[Nombre empl.]]=0,0,SUMIF(CCTSAS[Carrière],ETPRECAP[[#This Row],[Carrière]],CCTSAS[Années])/ETPRECAP[[#This Row],[Nombre empl.]])</f>
        <v>0</v>
      </c>
      <c r="I83" s="231">
        <f>SUMIFS(CCTSAS[heures annuelles
selon contrat(s)],CCTSAS[Allocation fonctions],"Encadrement",CCTSAS[Carrière],ETPRECAP[[#This Row],[Carrière]])</f>
        <v>0</v>
      </c>
      <c r="J83" s="232" t="e">
        <f>ETPRECAP[[#This Row],[Heures ETP Encadrement]]/$I$15</f>
        <v>#DIV/0!</v>
      </c>
      <c r="K83" s="231">
        <f>ETPRECAP[[#This Row],[Heures ETP Encadrement]]/RTT!$E$7</f>
        <v>0</v>
      </c>
      <c r="L83" s="24"/>
    </row>
    <row r="84" spans="2:12" x14ac:dyDescent="0.25">
      <c r="B84" s="24" t="s">
        <v>293</v>
      </c>
      <c r="C84" s="24" t="s">
        <v>567</v>
      </c>
      <c r="D84" s="231">
        <f>SUMIF(CCTSAS[Carrière],ETPRECAP[[#This Row],[Carrière]],CCTSAS[heures annuelles
selon contrat(s)])</f>
        <v>0</v>
      </c>
      <c r="E84" s="232" t="e">
        <f>ETPRECAP[[#This Row],[Heures ETP]]/$D$15</f>
        <v>#DIV/0!</v>
      </c>
      <c r="F84" s="231">
        <f>ETPRECAP[[#This Row],[Heures ETP]]/RTT!$E$7</f>
        <v>0</v>
      </c>
      <c r="G84" s="231">
        <f>COUNTIF(CCTSAS[Carrière],ETPRECAP[[#This Row],[Carrière]])</f>
        <v>0</v>
      </c>
      <c r="H84" s="231">
        <f>IF(ETPRECAP[[#This Row],[Nombre empl.]]=0,0,SUMIF(CCTSAS[Carrière],ETPRECAP[[#This Row],[Carrière]],CCTSAS[Années])/ETPRECAP[[#This Row],[Nombre empl.]])</f>
        <v>0</v>
      </c>
      <c r="I84" s="231">
        <f>SUMIFS(CCTSAS[heures annuelles
selon contrat(s)],CCTSAS[Allocation fonctions],"Encadrement",CCTSAS[Carrière],ETPRECAP[[#This Row],[Carrière]])</f>
        <v>0</v>
      </c>
      <c r="J84" s="232" t="e">
        <f>ETPRECAP[[#This Row],[Heures ETP Encadrement]]/$I$15</f>
        <v>#DIV/0!</v>
      </c>
      <c r="K84" s="231">
        <f>ETPRECAP[[#This Row],[Heures ETP Encadrement]]/RTT!$E$7</f>
        <v>0</v>
      </c>
      <c r="L84" s="24"/>
    </row>
    <row r="85" spans="2:12" x14ac:dyDescent="0.25">
      <c r="B85" s="24" t="s">
        <v>294</v>
      </c>
      <c r="C85" s="24" t="s">
        <v>567</v>
      </c>
      <c r="D85" s="231">
        <f>SUMIF(CCTSAS[Carrière],ETPRECAP[[#This Row],[Carrière]],CCTSAS[heures annuelles
selon contrat(s)])</f>
        <v>0</v>
      </c>
      <c r="E85" s="232" t="e">
        <f>ETPRECAP[[#This Row],[Heures ETP]]/$D$15</f>
        <v>#DIV/0!</v>
      </c>
      <c r="F85" s="231">
        <f>ETPRECAP[[#This Row],[Heures ETP]]/RTT!$E$7</f>
        <v>0</v>
      </c>
      <c r="G85" s="231">
        <f>COUNTIF(CCTSAS[Carrière],ETPRECAP[[#This Row],[Carrière]])</f>
        <v>0</v>
      </c>
      <c r="H85" s="231">
        <f>IF(ETPRECAP[[#This Row],[Nombre empl.]]=0,0,SUMIF(CCTSAS[Carrière],ETPRECAP[[#This Row],[Carrière]],CCTSAS[Années])/ETPRECAP[[#This Row],[Nombre empl.]])</f>
        <v>0</v>
      </c>
      <c r="I85" s="231">
        <f>SUMIFS(CCTSAS[heures annuelles
selon contrat(s)],CCTSAS[Allocation fonctions],"Encadrement",CCTSAS[Carrière],ETPRECAP[[#This Row],[Carrière]])</f>
        <v>0</v>
      </c>
      <c r="J85" s="232" t="e">
        <f>ETPRECAP[[#This Row],[Heures ETP Encadrement]]/$I$15</f>
        <v>#DIV/0!</v>
      </c>
      <c r="K85" s="231">
        <f>ETPRECAP[[#This Row],[Heures ETP Encadrement]]/RTT!$E$7</f>
        <v>0</v>
      </c>
      <c r="L85" s="24"/>
    </row>
    <row r="86" spans="2:12" x14ac:dyDescent="0.25">
      <c r="B86" s="24" t="s">
        <v>295</v>
      </c>
      <c r="C86" s="24" t="s">
        <v>567</v>
      </c>
      <c r="D86" s="231">
        <f>SUMIF(CCTSAS[Carrière],ETPRECAP[[#This Row],[Carrière]],CCTSAS[heures annuelles
selon contrat(s)])</f>
        <v>0</v>
      </c>
      <c r="E86" s="232" t="e">
        <f>ETPRECAP[[#This Row],[Heures ETP]]/$D$15</f>
        <v>#DIV/0!</v>
      </c>
      <c r="F86" s="231">
        <f>ETPRECAP[[#This Row],[Heures ETP]]/RTT!$E$7</f>
        <v>0</v>
      </c>
      <c r="G86" s="231">
        <f>COUNTIF(CCTSAS[Carrière],ETPRECAP[[#This Row],[Carrière]])</f>
        <v>0</v>
      </c>
      <c r="H86" s="231">
        <f>IF(ETPRECAP[[#This Row],[Nombre empl.]]=0,0,SUMIF(CCTSAS[Carrière],ETPRECAP[[#This Row],[Carrière]],CCTSAS[Années])/ETPRECAP[[#This Row],[Nombre empl.]])</f>
        <v>0</v>
      </c>
      <c r="I86" s="231">
        <f>SUMIFS(CCTSAS[heures annuelles
selon contrat(s)],CCTSAS[Allocation fonctions],"Encadrement",CCTSAS[Carrière],ETPRECAP[[#This Row],[Carrière]])</f>
        <v>0</v>
      </c>
      <c r="J86" s="232" t="e">
        <f>ETPRECAP[[#This Row],[Heures ETP Encadrement]]/$I$15</f>
        <v>#DIV/0!</v>
      </c>
      <c r="K86" s="231">
        <f>ETPRECAP[[#This Row],[Heures ETP Encadrement]]/RTT!$E$7</f>
        <v>0</v>
      </c>
      <c r="L86" s="24"/>
    </row>
    <row r="87" spans="2:12" x14ac:dyDescent="0.25">
      <c r="B87" s="24" t="s">
        <v>296</v>
      </c>
      <c r="C87" s="24" t="s">
        <v>567</v>
      </c>
      <c r="D87" s="231">
        <f>SUMIF(CCTSAS[Carrière],ETPRECAP[[#This Row],[Carrière]],CCTSAS[heures annuelles
selon contrat(s)])</f>
        <v>0</v>
      </c>
      <c r="E87" s="232" t="e">
        <f>ETPRECAP[[#This Row],[Heures ETP]]/$D$15</f>
        <v>#DIV/0!</v>
      </c>
      <c r="F87" s="231">
        <f>ETPRECAP[[#This Row],[Heures ETP]]/RTT!$E$7</f>
        <v>0</v>
      </c>
      <c r="G87" s="231">
        <f>COUNTIF(CCTSAS[Carrière],ETPRECAP[[#This Row],[Carrière]])</f>
        <v>0</v>
      </c>
      <c r="H87" s="231">
        <f>IF(ETPRECAP[[#This Row],[Nombre empl.]]=0,0,SUMIF(CCTSAS[Carrière],ETPRECAP[[#This Row],[Carrière]],CCTSAS[Années])/ETPRECAP[[#This Row],[Nombre empl.]])</f>
        <v>0</v>
      </c>
      <c r="I87" s="231">
        <f>SUMIFS(CCTSAS[heures annuelles
selon contrat(s)],CCTSAS[Allocation fonctions],"Encadrement",CCTSAS[Carrière],ETPRECAP[[#This Row],[Carrière]])</f>
        <v>0</v>
      </c>
      <c r="J87" s="232" t="e">
        <f>ETPRECAP[[#This Row],[Heures ETP Encadrement]]/$I$15</f>
        <v>#DIV/0!</v>
      </c>
      <c r="K87" s="231">
        <f>ETPRECAP[[#This Row],[Heures ETP Encadrement]]/RTT!$E$7</f>
        <v>0</v>
      </c>
      <c r="L87" s="24"/>
    </row>
    <row r="88" spans="2:12" x14ac:dyDescent="0.25">
      <c r="B88" s="24" t="s">
        <v>297</v>
      </c>
      <c r="C88" s="24" t="s">
        <v>567</v>
      </c>
      <c r="D88" s="231">
        <f>SUMIF(CCTSAS[Carrière],ETPRECAP[[#This Row],[Carrière]],CCTSAS[heures annuelles
selon contrat(s)])</f>
        <v>0</v>
      </c>
      <c r="E88" s="232" t="e">
        <f>ETPRECAP[[#This Row],[Heures ETP]]/$D$15</f>
        <v>#DIV/0!</v>
      </c>
      <c r="F88" s="231">
        <f>ETPRECAP[[#This Row],[Heures ETP]]/RTT!$E$7</f>
        <v>0</v>
      </c>
      <c r="G88" s="231">
        <f>COUNTIF(CCTSAS[Carrière],ETPRECAP[[#This Row],[Carrière]])</f>
        <v>0</v>
      </c>
      <c r="H88" s="231">
        <f>IF(ETPRECAP[[#This Row],[Nombre empl.]]=0,0,SUMIF(CCTSAS[Carrière],ETPRECAP[[#This Row],[Carrière]],CCTSAS[Années])/ETPRECAP[[#This Row],[Nombre empl.]])</f>
        <v>0</v>
      </c>
      <c r="I88" s="231">
        <f>SUMIFS(CCTSAS[heures annuelles
selon contrat(s)],CCTSAS[Allocation fonctions],"Encadrement",CCTSAS[Carrière],ETPRECAP[[#This Row],[Carrière]])</f>
        <v>0</v>
      </c>
      <c r="J88" s="232" t="e">
        <f>ETPRECAP[[#This Row],[Heures ETP Encadrement]]/$I$15</f>
        <v>#DIV/0!</v>
      </c>
      <c r="K88" s="231">
        <f>ETPRECAP[[#This Row],[Heures ETP Encadrement]]/RTT!$E$7</f>
        <v>0</v>
      </c>
      <c r="L88" s="24"/>
    </row>
    <row r="89" spans="2:12" x14ac:dyDescent="0.25">
      <c r="B89" s="24" t="s">
        <v>298</v>
      </c>
      <c r="C89" s="24" t="s">
        <v>567</v>
      </c>
      <c r="D89" s="231">
        <f>SUMIF(CCTSAS[Carrière],ETPRECAP[[#This Row],[Carrière]],CCTSAS[heures annuelles
selon contrat(s)])</f>
        <v>0</v>
      </c>
      <c r="E89" s="232" t="e">
        <f>ETPRECAP[[#This Row],[Heures ETP]]/$D$15</f>
        <v>#DIV/0!</v>
      </c>
      <c r="F89" s="231">
        <f>ETPRECAP[[#This Row],[Heures ETP]]/RTT!$E$7</f>
        <v>0</v>
      </c>
      <c r="G89" s="231">
        <f>COUNTIF(CCTSAS[Carrière],ETPRECAP[[#This Row],[Carrière]])</f>
        <v>0</v>
      </c>
      <c r="H89" s="231">
        <f>IF(ETPRECAP[[#This Row],[Nombre empl.]]=0,0,SUMIF(CCTSAS[Carrière],ETPRECAP[[#This Row],[Carrière]],CCTSAS[Années])/ETPRECAP[[#This Row],[Nombre empl.]])</f>
        <v>0</v>
      </c>
      <c r="I89" s="231">
        <f>SUMIFS(CCTSAS[heures annuelles
selon contrat(s)],CCTSAS[Allocation fonctions],"Encadrement",CCTSAS[Carrière],ETPRECAP[[#This Row],[Carrière]])</f>
        <v>0</v>
      </c>
      <c r="J89" s="232" t="e">
        <f>ETPRECAP[[#This Row],[Heures ETP Encadrement]]/$I$15</f>
        <v>#DIV/0!</v>
      </c>
      <c r="K89" s="231">
        <f>ETPRECAP[[#This Row],[Heures ETP Encadrement]]/RTT!$E$7</f>
        <v>0</v>
      </c>
      <c r="L89" s="24"/>
    </row>
    <row r="90" spans="2:12" x14ac:dyDescent="0.25">
      <c r="B90" s="24" t="s">
        <v>299</v>
      </c>
      <c r="C90" s="24" t="s">
        <v>567</v>
      </c>
      <c r="D90" s="231">
        <f>SUMIF(CCTSAS[Carrière],ETPRECAP[[#This Row],[Carrière]],CCTSAS[heures annuelles
selon contrat(s)])</f>
        <v>0</v>
      </c>
      <c r="E90" s="232" t="e">
        <f>ETPRECAP[[#This Row],[Heures ETP]]/$D$15</f>
        <v>#DIV/0!</v>
      </c>
      <c r="F90" s="231">
        <f>ETPRECAP[[#This Row],[Heures ETP]]/RTT!$E$7</f>
        <v>0</v>
      </c>
      <c r="G90" s="231">
        <f>COUNTIF(CCTSAS[Carrière],ETPRECAP[[#This Row],[Carrière]])</f>
        <v>0</v>
      </c>
      <c r="H90" s="231">
        <f>IF(ETPRECAP[[#This Row],[Nombre empl.]]=0,0,SUMIF(CCTSAS[Carrière],ETPRECAP[[#This Row],[Carrière]],CCTSAS[Années])/ETPRECAP[[#This Row],[Nombre empl.]])</f>
        <v>0</v>
      </c>
      <c r="I90" s="231">
        <f>SUMIFS(CCTSAS[heures annuelles
selon contrat(s)],CCTSAS[Allocation fonctions],"Encadrement",CCTSAS[Carrière],ETPRECAP[[#This Row],[Carrière]])</f>
        <v>0</v>
      </c>
      <c r="J90" s="232" t="e">
        <f>ETPRECAP[[#This Row],[Heures ETP Encadrement]]/$I$15</f>
        <v>#DIV/0!</v>
      </c>
      <c r="K90" s="231">
        <f>ETPRECAP[[#This Row],[Heures ETP Encadrement]]/RTT!$E$7</f>
        <v>0</v>
      </c>
      <c r="L90" s="24"/>
    </row>
    <row r="91" spans="2:12" x14ac:dyDescent="0.25">
      <c r="B91" s="24" t="s">
        <v>300</v>
      </c>
      <c r="C91" s="24" t="s">
        <v>567</v>
      </c>
      <c r="D91" s="231">
        <f>SUMIF(CCTSAS[Carrière],ETPRECAP[[#This Row],[Carrière]],CCTSAS[heures annuelles
selon contrat(s)])</f>
        <v>0</v>
      </c>
      <c r="E91" s="232" t="e">
        <f>ETPRECAP[[#This Row],[Heures ETP]]/$D$15</f>
        <v>#DIV/0!</v>
      </c>
      <c r="F91" s="231">
        <f>ETPRECAP[[#This Row],[Heures ETP]]/RTT!$E$7</f>
        <v>0</v>
      </c>
      <c r="G91" s="231">
        <f>COUNTIF(CCTSAS[Carrière],ETPRECAP[[#This Row],[Carrière]])</f>
        <v>0</v>
      </c>
      <c r="H91" s="231">
        <f>IF(ETPRECAP[[#This Row],[Nombre empl.]]=0,0,SUMIF(CCTSAS[Carrière],ETPRECAP[[#This Row],[Carrière]],CCTSAS[Années])/ETPRECAP[[#This Row],[Nombre empl.]])</f>
        <v>0</v>
      </c>
      <c r="I91" s="231">
        <f>SUMIFS(CCTSAS[heures annuelles
selon contrat(s)],CCTSAS[Allocation fonctions],"Encadrement",CCTSAS[Carrière],ETPRECAP[[#This Row],[Carrière]])</f>
        <v>0</v>
      </c>
      <c r="J91" s="232" t="e">
        <f>ETPRECAP[[#This Row],[Heures ETP Encadrement]]/$I$15</f>
        <v>#DIV/0!</v>
      </c>
      <c r="K91" s="231">
        <f>ETPRECAP[[#This Row],[Heures ETP Encadrement]]/RTT!$E$7</f>
        <v>0</v>
      </c>
      <c r="L91" s="24"/>
    </row>
    <row r="92" spans="2:12" x14ac:dyDescent="0.25">
      <c r="B92" s="24" t="s">
        <v>301</v>
      </c>
      <c r="C92" s="24" t="s">
        <v>567</v>
      </c>
      <c r="D92" s="231">
        <f>SUMIF(CCTSAS[Carrière],ETPRECAP[[#This Row],[Carrière]],CCTSAS[heures annuelles
selon contrat(s)])</f>
        <v>0</v>
      </c>
      <c r="E92" s="232" t="e">
        <f>ETPRECAP[[#This Row],[Heures ETP]]/$D$15</f>
        <v>#DIV/0!</v>
      </c>
      <c r="F92" s="231">
        <f>ETPRECAP[[#This Row],[Heures ETP]]/RTT!$E$7</f>
        <v>0</v>
      </c>
      <c r="G92" s="231">
        <f>COUNTIF(CCTSAS[Carrière],ETPRECAP[[#This Row],[Carrière]])</f>
        <v>0</v>
      </c>
      <c r="H92" s="231">
        <f>IF(ETPRECAP[[#This Row],[Nombre empl.]]=0,0,SUMIF(CCTSAS[Carrière],ETPRECAP[[#This Row],[Carrière]],CCTSAS[Années])/ETPRECAP[[#This Row],[Nombre empl.]])</f>
        <v>0</v>
      </c>
      <c r="I92" s="231">
        <f>SUMIFS(CCTSAS[heures annuelles
selon contrat(s)],CCTSAS[Allocation fonctions],"Encadrement",CCTSAS[Carrière],ETPRECAP[[#This Row],[Carrière]])</f>
        <v>0</v>
      </c>
      <c r="J92" s="232" t="e">
        <f>ETPRECAP[[#This Row],[Heures ETP Encadrement]]/$I$15</f>
        <v>#DIV/0!</v>
      </c>
      <c r="K92" s="231">
        <f>ETPRECAP[[#This Row],[Heures ETP Encadrement]]/RTT!$E$7</f>
        <v>0</v>
      </c>
      <c r="L92" s="24"/>
    </row>
    <row r="93" spans="2:12" x14ac:dyDescent="0.25">
      <c r="B93" s="24" t="s">
        <v>302</v>
      </c>
      <c r="C93" s="24" t="s">
        <v>567</v>
      </c>
      <c r="D93" s="231">
        <f>SUMIF(CCTSAS[Carrière],ETPRECAP[[#This Row],[Carrière]],CCTSAS[heures annuelles
selon contrat(s)])</f>
        <v>0</v>
      </c>
      <c r="E93" s="232" t="e">
        <f>ETPRECAP[[#This Row],[Heures ETP]]/$D$15</f>
        <v>#DIV/0!</v>
      </c>
      <c r="F93" s="231">
        <f>ETPRECAP[[#This Row],[Heures ETP]]/RTT!$E$7</f>
        <v>0</v>
      </c>
      <c r="G93" s="231">
        <f>COUNTIF(CCTSAS[Carrière],ETPRECAP[[#This Row],[Carrière]])</f>
        <v>0</v>
      </c>
      <c r="H93" s="231">
        <f>IF(ETPRECAP[[#This Row],[Nombre empl.]]=0,0,SUMIF(CCTSAS[Carrière],ETPRECAP[[#This Row],[Carrière]],CCTSAS[Années])/ETPRECAP[[#This Row],[Nombre empl.]])</f>
        <v>0</v>
      </c>
      <c r="I93" s="231">
        <f>SUMIFS(CCTSAS[heures annuelles
selon contrat(s)],CCTSAS[Allocation fonctions],"Encadrement",CCTSAS[Carrière],ETPRECAP[[#This Row],[Carrière]])</f>
        <v>0</v>
      </c>
      <c r="J93" s="232" t="e">
        <f>ETPRECAP[[#This Row],[Heures ETP Encadrement]]/$I$15</f>
        <v>#DIV/0!</v>
      </c>
      <c r="K93" s="231">
        <f>ETPRECAP[[#This Row],[Heures ETP Encadrement]]/RTT!$E$7</f>
        <v>0</v>
      </c>
      <c r="L93" s="24"/>
    </row>
    <row r="94" spans="2:12" x14ac:dyDescent="0.25">
      <c r="B94" s="24" t="s">
        <v>303</v>
      </c>
      <c r="C94" s="24" t="s">
        <v>567</v>
      </c>
      <c r="D94" s="231">
        <f>SUMIF(CCTSAS[Carrière],ETPRECAP[[#This Row],[Carrière]],CCTSAS[heures annuelles
selon contrat(s)])</f>
        <v>0</v>
      </c>
      <c r="E94" s="232" t="e">
        <f>ETPRECAP[[#This Row],[Heures ETP]]/$D$15</f>
        <v>#DIV/0!</v>
      </c>
      <c r="F94" s="231">
        <f>ETPRECAP[[#This Row],[Heures ETP]]/RTT!$E$7</f>
        <v>0</v>
      </c>
      <c r="G94" s="231">
        <f>COUNTIF(CCTSAS[Carrière],ETPRECAP[[#This Row],[Carrière]])</f>
        <v>0</v>
      </c>
      <c r="H94" s="231">
        <f>IF(ETPRECAP[[#This Row],[Nombre empl.]]=0,0,SUMIF(CCTSAS[Carrière],ETPRECAP[[#This Row],[Carrière]],CCTSAS[Années])/ETPRECAP[[#This Row],[Nombre empl.]])</f>
        <v>0</v>
      </c>
      <c r="I94" s="231">
        <f>SUMIFS(CCTSAS[heures annuelles
selon contrat(s)],CCTSAS[Allocation fonctions],"Encadrement",CCTSAS[Carrière],ETPRECAP[[#This Row],[Carrière]])</f>
        <v>0</v>
      </c>
      <c r="J94" s="232" t="e">
        <f>ETPRECAP[[#This Row],[Heures ETP Encadrement]]/$I$15</f>
        <v>#DIV/0!</v>
      </c>
      <c r="K94" s="231">
        <f>ETPRECAP[[#This Row],[Heures ETP Encadrement]]/RTT!$E$7</f>
        <v>0</v>
      </c>
      <c r="L94" s="24"/>
    </row>
    <row r="95" spans="2:12" x14ac:dyDescent="0.25">
      <c r="B95" s="24" t="s">
        <v>304</v>
      </c>
      <c r="C95" s="24" t="s">
        <v>567</v>
      </c>
      <c r="D95" s="231">
        <f>SUMIF(CCTSAS[Carrière],ETPRECAP[[#This Row],[Carrière]],CCTSAS[heures annuelles
selon contrat(s)])</f>
        <v>0</v>
      </c>
      <c r="E95" s="232" t="e">
        <f>ETPRECAP[[#This Row],[Heures ETP]]/$D$15</f>
        <v>#DIV/0!</v>
      </c>
      <c r="F95" s="231">
        <f>ETPRECAP[[#This Row],[Heures ETP]]/RTT!$E$7</f>
        <v>0</v>
      </c>
      <c r="G95" s="231">
        <f>COUNTIF(CCTSAS[Carrière],ETPRECAP[[#This Row],[Carrière]])</f>
        <v>0</v>
      </c>
      <c r="H95" s="231">
        <f>IF(ETPRECAP[[#This Row],[Nombre empl.]]=0,0,SUMIF(CCTSAS[Carrière],ETPRECAP[[#This Row],[Carrière]],CCTSAS[Années])/ETPRECAP[[#This Row],[Nombre empl.]])</f>
        <v>0</v>
      </c>
      <c r="I95" s="231">
        <f>SUMIFS(CCTSAS[heures annuelles
selon contrat(s)],CCTSAS[Allocation fonctions],"Encadrement",CCTSAS[Carrière],ETPRECAP[[#This Row],[Carrière]])</f>
        <v>0</v>
      </c>
      <c r="J95" s="232" t="e">
        <f>ETPRECAP[[#This Row],[Heures ETP Encadrement]]/$I$15</f>
        <v>#DIV/0!</v>
      </c>
      <c r="K95" s="231">
        <f>ETPRECAP[[#This Row],[Heures ETP Encadrement]]/RTT!$E$7</f>
        <v>0</v>
      </c>
      <c r="L95" s="24"/>
    </row>
    <row r="96" spans="2:12" x14ac:dyDescent="0.25">
      <c r="B96" s="24" t="s">
        <v>305</v>
      </c>
      <c r="C96" s="24" t="s">
        <v>567</v>
      </c>
      <c r="D96" s="231">
        <f>SUMIF(CCTSAS[Carrière],ETPRECAP[[#This Row],[Carrière]],CCTSAS[heures annuelles
selon contrat(s)])</f>
        <v>0</v>
      </c>
      <c r="E96" s="232" t="e">
        <f>ETPRECAP[[#This Row],[Heures ETP]]/$D$15</f>
        <v>#DIV/0!</v>
      </c>
      <c r="F96" s="231">
        <f>ETPRECAP[[#This Row],[Heures ETP]]/RTT!$E$7</f>
        <v>0</v>
      </c>
      <c r="G96" s="231">
        <f>COUNTIF(CCTSAS[Carrière],ETPRECAP[[#This Row],[Carrière]])</f>
        <v>0</v>
      </c>
      <c r="H96" s="231">
        <f>IF(ETPRECAP[[#This Row],[Nombre empl.]]=0,0,SUMIF(CCTSAS[Carrière],ETPRECAP[[#This Row],[Carrière]],CCTSAS[Années])/ETPRECAP[[#This Row],[Nombre empl.]])</f>
        <v>0</v>
      </c>
      <c r="I96" s="231">
        <f>SUMIFS(CCTSAS[heures annuelles
selon contrat(s)],CCTSAS[Allocation fonctions],"Encadrement",CCTSAS[Carrière],ETPRECAP[[#This Row],[Carrière]])</f>
        <v>0</v>
      </c>
      <c r="J96" s="232" t="e">
        <f>ETPRECAP[[#This Row],[Heures ETP Encadrement]]/$I$15</f>
        <v>#DIV/0!</v>
      </c>
      <c r="K96" s="231">
        <f>ETPRECAP[[#This Row],[Heures ETP Encadrement]]/RTT!$E$7</f>
        <v>0</v>
      </c>
      <c r="L96" s="24"/>
    </row>
    <row r="97" spans="1:12" x14ac:dyDescent="0.25">
      <c r="A97" s="579" t="s">
        <v>389</v>
      </c>
      <c r="B97" s="382" t="s">
        <v>392</v>
      </c>
      <c r="C97" s="382" t="s">
        <v>3</v>
      </c>
      <c r="D97" s="383">
        <f>SUMIF(SalCommune[Carrière],ETPRECAP[[#This Row],[Carrière]],SalCommune[heures annuelles
selon contrat(s)])</f>
        <v>0</v>
      </c>
      <c r="E97" s="384" t="e">
        <f>ETPRECAP[[#This Row],[Heures ETP]]/$D$15</f>
        <v>#DIV/0!</v>
      </c>
      <c r="F97" s="383">
        <f>ETPRECAP[[#This Row],[Heures ETP]]/RTT!$E$7</f>
        <v>0</v>
      </c>
      <c r="G97" s="383">
        <f>COUNTIF(SalCommune[Carrière],ETPRECAP[[#This Row],[Carrière]])</f>
        <v>0</v>
      </c>
      <c r="H97" s="383">
        <f>IF(ETPRECAP[[#This Row],[Nombre empl.]]=0,0,SUMIF(SalCommune[Carrière],ETPRECAP[[#This Row],[Carrière]],SalCommune[Années])/ETPRECAP[[#This Row],[Nombre empl.]])</f>
        <v>0</v>
      </c>
      <c r="I97" s="383">
        <f>SUMIFS(SalCommune[heures annuelles
selon contrat(s)],SalCommune[Allocations fonctions],"Encadrement",SalCommune[Carrière],ETPRECAP[[#This Row],[Carrière]])</f>
        <v>0</v>
      </c>
      <c r="J97" s="384" t="e">
        <f>ETPRECAP[[#This Row],[Heures ETP Encadrement]]/$I$15</f>
        <v>#DIV/0!</v>
      </c>
      <c r="K97" s="383">
        <f>ETPRECAP[[#This Row],[Heures ETP Encadrement]]/RTT!$E$7</f>
        <v>0</v>
      </c>
      <c r="L97" s="385"/>
    </row>
    <row r="98" spans="1:12" x14ac:dyDescent="0.25">
      <c r="A98" s="580"/>
      <c r="B98" s="82" t="s">
        <v>393</v>
      </c>
      <c r="C98" s="82" t="s">
        <v>3</v>
      </c>
      <c r="D98" s="386">
        <f>SUMIF(SalCommune[Carrière],ETPRECAP[[#This Row],[Carrière]],SalCommune[heures annuelles
selon contrat(s)])</f>
        <v>0</v>
      </c>
      <c r="E98" s="387" t="e">
        <f>ETPRECAP[[#This Row],[Heures ETP]]/$D$15</f>
        <v>#DIV/0!</v>
      </c>
      <c r="F98" s="386">
        <f>ETPRECAP[[#This Row],[Heures ETP]]/RTT!$E$7</f>
        <v>0</v>
      </c>
      <c r="G98" s="386">
        <f>COUNTIF(SalCommune[Carrière],ETPRECAP[[#This Row],[Carrière]])</f>
        <v>0</v>
      </c>
      <c r="H98" s="386">
        <f>IF(ETPRECAP[[#This Row],[Nombre empl.]]=0,0,SUMIF(SalCommune[Carrière],ETPRECAP[[#This Row],[Carrière]],SalCommune[Années])/ETPRECAP[[#This Row],[Nombre empl.]])</f>
        <v>0</v>
      </c>
      <c r="I98" s="386">
        <f>SUMIFS(SalCommune[heures annuelles
selon contrat(s)],SalCommune[Allocations fonctions],"Encadrement",SalCommune[Carrière],ETPRECAP[[#This Row],[Carrière]])</f>
        <v>0</v>
      </c>
      <c r="J98" s="387" t="e">
        <f>ETPRECAP[[#This Row],[Heures ETP Encadrement]]/$I$15</f>
        <v>#DIV/0!</v>
      </c>
      <c r="K98" s="386">
        <f>ETPRECAP[[#This Row],[Heures ETP Encadrement]]/RTT!$E$7</f>
        <v>0</v>
      </c>
      <c r="L98" s="388"/>
    </row>
    <row r="99" spans="1:12" x14ac:dyDescent="0.25">
      <c r="A99" s="580"/>
      <c r="B99" s="82" t="s">
        <v>394</v>
      </c>
      <c r="C99" s="82" t="s">
        <v>3</v>
      </c>
      <c r="D99" s="386">
        <f>SUMIF(SalCommune[Carrière],ETPRECAP[[#This Row],[Carrière]],SalCommune[heures annuelles
selon contrat(s)])</f>
        <v>0</v>
      </c>
      <c r="E99" s="387" t="e">
        <f>ETPRECAP[[#This Row],[Heures ETP]]/$D$15</f>
        <v>#DIV/0!</v>
      </c>
      <c r="F99" s="386">
        <f>ETPRECAP[[#This Row],[Heures ETP]]/RTT!$E$7</f>
        <v>0</v>
      </c>
      <c r="G99" s="386">
        <f>COUNTIF(SalCommune[Carrière],ETPRECAP[[#This Row],[Carrière]])</f>
        <v>0</v>
      </c>
      <c r="H99" s="386">
        <f>IF(ETPRECAP[[#This Row],[Nombre empl.]]=0,0,SUMIF(SalCommune[Carrière],ETPRECAP[[#This Row],[Carrière]],SalCommune[Années])/ETPRECAP[[#This Row],[Nombre empl.]])</f>
        <v>0</v>
      </c>
      <c r="I99" s="386">
        <f>SUMIFS(SalCommune[heures annuelles
selon contrat(s)],SalCommune[Allocations fonctions],"Encadrement",SalCommune[Carrière],ETPRECAP[[#This Row],[Carrière]])</f>
        <v>0</v>
      </c>
      <c r="J99" s="387" t="e">
        <f>ETPRECAP[[#This Row],[Heures ETP Encadrement]]/$I$15</f>
        <v>#DIV/0!</v>
      </c>
      <c r="K99" s="386">
        <f>ETPRECAP[[#This Row],[Heures ETP Encadrement]]/RTT!$E$7</f>
        <v>0</v>
      </c>
      <c r="L99" s="388"/>
    </row>
    <row r="100" spans="1:12" x14ac:dyDescent="0.25">
      <c r="A100" s="580"/>
      <c r="B100" s="82" t="s">
        <v>395</v>
      </c>
      <c r="C100" s="82" t="s">
        <v>3</v>
      </c>
      <c r="D100" s="386">
        <f>SUMIF(SalCommune[Carrière],ETPRECAP[[#This Row],[Carrière]],SalCommune[heures annuelles
selon contrat(s)])</f>
        <v>0</v>
      </c>
      <c r="E100" s="387" t="e">
        <f>ETPRECAP[[#This Row],[Heures ETP]]/$D$15</f>
        <v>#DIV/0!</v>
      </c>
      <c r="F100" s="386">
        <f>ETPRECAP[[#This Row],[Heures ETP]]/RTT!$E$7</f>
        <v>0</v>
      </c>
      <c r="G100" s="386">
        <f>COUNTIF(SalCommune[Carrière],ETPRECAP[[#This Row],[Carrière]])</f>
        <v>0</v>
      </c>
      <c r="H100" s="386">
        <f>IF(ETPRECAP[[#This Row],[Nombre empl.]]=0,0,SUMIF(SalCommune[Carrière],ETPRECAP[[#This Row],[Carrière]],SalCommune[Années])/ETPRECAP[[#This Row],[Nombre empl.]])</f>
        <v>0</v>
      </c>
      <c r="I100" s="386">
        <f>SUMIFS(SalCommune[heures annuelles
selon contrat(s)],SalCommune[Allocations fonctions],"Encadrement",SalCommune[Carrière],ETPRECAP[[#This Row],[Carrière]])</f>
        <v>0</v>
      </c>
      <c r="J100" s="387" t="e">
        <f>ETPRECAP[[#This Row],[Heures ETP Encadrement]]/$I$15</f>
        <v>#DIV/0!</v>
      </c>
      <c r="K100" s="386">
        <f>ETPRECAP[[#This Row],[Heures ETP Encadrement]]/RTT!$E$7</f>
        <v>0</v>
      </c>
      <c r="L100" s="388"/>
    </row>
    <row r="101" spans="1:12" x14ac:dyDescent="0.25">
      <c r="A101" s="580"/>
      <c r="B101" s="82" t="s">
        <v>396</v>
      </c>
      <c r="C101" s="82" t="s">
        <v>3</v>
      </c>
      <c r="D101" s="386">
        <f>SUMIF(SalCommune[Carrière],ETPRECAP[[#This Row],[Carrière]],SalCommune[heures annuelles
selon contrat(s)])</f>
        <v>0</v>
      </c>
      <c r="E101" s="387" t="e">
        <f>ETPRECAP[[#This Row],[Heures ETP]]/$D$15</f>
        <v>#DIV/0!</v>
      </c>
      <c r="F101" s="386">
        <f>ETPRECAP[[#This Row],[Heures ETP]]/RTT!$E$7</f>
        <v>0</v>
      </c>
      <c r="G101" s="386">
        <f>COUNTIF(SalCommune[Carrière],ETPRECAP[[#This Row],[Carrière]])</f>
        <v>0</v>
      </c>
      <c r="H101" s="386">
        <f>IF(ETPRECAP[[#This Row],[Nombre empl.]]=0,0,SUMIF(SalCommune[Carrière],ETPRECAP[[#This Row],[Carrière]],SalCommune[Années])/ETPRECAP[[#This Row],[Nombre empl.]])</f>
        <v>0</v>
      </c>
      <c r="I101" s="386">
        <f>SUMIFS(SalCommune[heures annuelles
selon contrat(s)],SalCommune[Allocations fonctions],"Encadrement",SalCommune[Carrière],ETPRECAP[[#This Row],[Carrière]])</f>
        <v>0</v>
      </c>
      <c r="J101" s="387" t="e">
        <f>ETPRECAP[[#This Row],[Heures ETP Encadrement]]/$I$15</f>
        <v>#DIV/0!</v>
      </c>
      <c r="K101" s="386">
        <f>ETPRECAP[[#This Row],[Heures ETP Encadrement]]/RTT!$E$7</f>
        <v>0</v>
      </c>
      <c r="L101" s="388"/>
    </row>
    <row r="102" spans="1:12" x14ac:dyDescent="0.25">
      <c r="A102" s="580"/>
      <c r="B102" s="82" t="s">
        <v>397</v>
      </c>
      <c r="C102" s="82" t="s">
        <v>3</v>
      </c>
      <c r="D102" s="386">
        <f>SUMIF(SalCommune[Carrière],ETPRECAP[[#This Row],[Carrière]],SalCommune[heures annuelles
selon contrat(s)])</f>
        <v>0</v>
      </c>
      <c r="E102" s="387" t="e">
        <f>ETPRECAP[[#This Row],[Heures ETP]]/$D$15</f>
        <v>#DIV/0!</v>
      </c>
      <c r="F102" s="386">
        <f>ETPRECAP[[#This Row],[Heures ETP]]/RTT!$E$7</f>
        <v>0</v>
      </c>
      <c r="G102" s="386">
        <f>COUNTIF(SalCommune[Carrière],ETPRECAP[[#This Row],[Carrière]])</f>
        <v>0</v>
      </c>
      <c r="H102" s="386">
        <f>IF(ETPRECAP[[#This Row],[Nombre empl.]]=0,0,SUMIF(SalCommune[Carrière],ETPRECAP[[#This Row],[Carrière]],SalCommune[Années])/ETPRECAP[[#This Row],[Nombre empl.]])</f>
        <v>0</v>
      </c>
      <c r="I102" s="386">
        <f>SUMIFS(SalCommune[heures annuelles
selon contrat(s)],SalCommune[Allocations fonctions],"Encadrement",SalCommune[Carrière],ETPRECAP[[#This Row],[Carrière]])</f>
        <v>0</v>
      </c>
      <c r="J102" s="387" t="e">
        <f>ETPRECAP[[#This Row],[Heures ETP Encadrement]]/$I$15</f>
        <v>#DIV/0!</v>
      </c>
      <c r="K102" s="386">
        <f>ETPRECAP[[#This Row],[Heures ETP Encadrement]]/RTT!$E$7</f>
        <v>0</v>
      </c>
      <c r="L102" s="388"/>
    </row>
    <row r="103" spans="1:12" x14ac:dyDescent="0.25">
      <c r="A103" s="580"/>
      <c r="B103" s="82" t="s">
        <v>398</v>
      </c>
      <c r="C103" s="82" t="s">
        <v>3</v>
      </c>
      <c r="D103" s="386">
        <f>SUMIF(SalCommune[Carrière],ETPRECAP[[#This Row],[Carrière]],SalCommune[heures annuelles
selon contrat(s)])</f>
        <v>0</v>
      </c>
      <c r="E103" s="387" t="e">
        <f>ETPRECAP[[#This Row],[Heures ETP]]/$D$15</f>
        <v>#DIV/0!</v>
      </c>
      <c r="F103" s="386">
        <f>ETPRECAP[[#This Row],[Heures ETP]]/RTT!$E$7</f>
        <v>0</v>
      </c>
      <c r="G103" s="386">
        <f>COUNTIF(SalCommune[Carrière],ETPRECAP[[#This Row],[Carrière]])</f>
        <v>0</v>
      </c>
      <c r="H103" s="386">
        <f>IF(ETPRECAP[[#This Row],[Nombre empl.]]=0,0,SUMIF(SalCommune[Carrière],ETPRECAP[[#This Row],[Carrière]],SalCommune[Années])/ETPRECAP[[#This Row],[Nombre empl.]])</f>
        <v>0</v>
      </c>
      <c r="I103" s="386">
        <f>SUMIFS(SalCommune[heures annuelles
selon contrat(s)],SalCommune[Allocations fonctions],"Encadrement",SalCommune[Carrière],ETPRECAP[[#This Row],[Carrière]])</f>
        <v>0</v>
      </c>
      <c r="J103" s="387" t="e">
        <f>ETPRECAP[[#This Row],[Heures ETP Encadrement]]/$I$15</f>
        <v>#DIV/0!</v>
      </c>
      <c r="K103" s="386">
        <f>ETPRECAP[[#This Row],[Heures ETP Encadrement]]/RTT!$E$7</f>
        <v>0</v>
      </c>
      <c r="L103" s="388"/>
    </row>
    <row r="104" spans="1:12" x14ac:dyDescent="0.25">
      <c r="A104" s="580"/>
      <c r="B104" s="82" t="s">
        <v>399</v>
      </c>
      <c r="C104" s="82" t="s">
        <v>3</v>
      </c>
      <c r="D104" s="386">
        <f>SUMIF(SalCommune[Carrière],ETPRECAP[[#This Row],[Carrière]],SalCommune[heures annuelles
selon contrat(s)])</f>
        <v>0</v>
      </c>
      <c r="E104" s="387" t="e">
        <f>ETPRECAP[[#This Row],[Heures ETP]]/$D$15</f>
        <v>#DIV/0!</v>
      </c>
      <c r="F104" s="386">
        <f>ETPRECAP[[#This Row],[Heures ETP]]/RTT!$E$7</f>
        <v>0</v>
      </c>
      <c r="G104" s="386">
        <f>COUNTIF(SalCommune[Carrière],ETPRECAP[[#This Row],[Carrière]])</f>
        <v>0</v>
      </c>
      <c r="H104" s="386">
        <f>IF(ETPRECAP[[#This Row],[Nombre empl.]]=0,0,SUMIF(SalCommune[Carrière],ETPRECAP[[#This Row],[Carrière]],SalCommune[Années])/ETPRECAP[[#This Row],[Nombre empl.]])</f>
        <v>0</v>
      </c>
      <c r="I104" s="386">
        <f>SUMIFS(SalCommune[heures annuelles
selon contrat(s)],SalCommune[Allocations fonctions],"Encadrement",SalCommune[Carrière],ETPRECAP[[#This Row],[Carrière]])</f>
        <v>0</v>
      </c>
      <c r="J104" s="387" t="e">
        <f>ETPRECAP[[#This Row],[Heures ETP Encadrement]]/$I$15</f>
        <v>#DIV/0!</v>
      </c>
      <c r="K104" s="386">
        <f>ETPRECAP[[#This Row],[Heures ETP Encadrement]]/RTT!$E$7</f>
        <v>0</v>
      </c>
      <c r="L104" s="388"/>
    </row>
    <row r="105" spans="1:12" x14ac:dyDescent="0.25">
      <c r="A105" s="580"/>
      <c r="B105" s="82" t="s">
        <v>400</v>
      </c>
      <c r="C105" s="82" t="s">
        <v>3</v>
      </c>
      <c r="D105" s="386">
        <f>SUMIF(SalCommune[Carrière],ETPRECAP[[#This Row],[Carrière]],SalCommune[heures annuelles
selon contrat(s)])</f>
        <v>0</v>
      </c>
      <c r="E105" s="387" t="e">
        <f>ETPRECAP[[#This Row],[Heures ETP]]/$D$15</f>
        <v>#DIV/0!</v>
      </c>
      <c r="F105" s="386">
        <f>ETPRECAP[[#This Row],[Heures ETP]]/RTT!$E$7</f>
        <v>0</v>
      </c>
      <c r="G105" s="386">
        <f>COUNTIF(SalCommune[Carrière],ETPRECAP[[#This Row],[Carrière]])</f>
        <v>0</v>
      </c>
      <c r="H105" s="386">
        <f>IF(ETPRECAP[[#This Row],[Nombre empl.]]=0,0,SUMIF(SalCommune[Carrière],ETPRECAP[[#This Row],[Carrière]],SalCommune[Années])/ETPRECAP[[#This Row],[Nombre empl.]])</f>
        <v>0</v>
      </c>
      <c r="I105" s="386">
        <f>SUMIFS(SalCommune[heures annuelles
selon contrat(s)],SalCommune[Allocations fonctions],"Encadrement",SalCommune[Carrière],ETPRECAP[[#This Row],[Carrière]])</f>
        <v>0</v>
      </c>
      <c r="J105" s="387" t="e">
        <f>ETPRECAP[[#This Row],[Heures ETP Encadrement]]/$I$15</f>
        <v>#DIV/0!</v>
      </c>
      <c r="K105" s="386">
        <f>ETPRECAP[[#This Row],[Heures ETP Encadrement]]/RTT!$E$7</f>
        <v>0</v>
      </c>
      <c r="L105" s="388"/>
    </row>
    <row r="106" spans="1:12" x14ac:dyDescent="0.25">
      <c r="A106" s="580"/>
      <c r="B106" s="82" t="s">
        <v>401</v>
      </c>
      <c r="C106" s="82" t="s">
        <v>3</v>
      </c>
      <c r="D106" s="386">
        <f>SUMIF(SalCommune[Carrière],ETPRECAP[[#This Row],[Carrière]],SalCommune[heures annuelles
selon contrat(s)])</f>
        <v>0</v>
      </c>
      <c r="E106" s="387" t="e">
        <f>ETPRECAP[[#This Row],[Heures ETP]]/$D$15</f>
        <v>#DIV/0!</v>
      </c>
      <c r="F106" s="386">
        <f>ETPRECAP[[#This Row],[Heures ETP]]/RTT!$E$7</f>
        <v>0</v>
      </c>
      <c r="G106" s="386">
        <f>COUNTIF(SalCommune[Carrière],ETPRECAP[[#This Row],[Carrière]])</f>
        <v>0</v>
      </c>
      <c r="H106" s="386">
        <f>IF(ETPRECAP[[#This Row],[Nombre empl.]]=0,0,SUMIF(SalCommune[Carrière],ETPRECAP[[#This Row],[Carrière]],SalCommune[Années])/ETPRECAP[[#This Row],[Nombre empl.]])</f>
        <v>0</v>
      </c>
      <c r="I106" s="386">
        <f>SUMIFS(SalCommune[heures annuelles
selon contrat(s)],SalCommune[Allocations fonctions],"Encadrement",SalCommune[Carrière],ETPRECAP[[#This Row],[Carrière]])</f>
        <v>0</v>
      </c>
      <c r="J106" s="387" t="e">
        <f>ETPRECAP[[#This Row],[Heures ETP Encadrement]]/$I$15</f>
        <v>#DIV/0!</v>
      </c>
      <c r="K106" s="386">
        <f>ETPRECAP[[#This Row],[Heures ETP Encadrement]]/RTT!$E$7</f>
        <v>0</v>
      </c>
      <c r="L106" s="388"/>
    </row>
    <row r="107" spans="1:12" x14ac:dyDescent="0.25">
      <c r="A107" s="580"/>
      <c r="B107" s="82" t="s">
        <v>229</v>
      </c>
      <c r="C107" s="82" t="s">
        <v>3</v>
      </c>
      <c r="D107" s="386">
        <f>SUMIF(SalCommune[Carrière],ETPRECAP[[#This Row],[Carrière]],SalCommune[heures annuelles
selon contrat(s)])</f>
        <v>0</v>
      </c>
      <c r="E107" s="387" t="e">
        <f>ETPRECAP[[#This Row],[Heures ETP]]/$D$15</f>
        <v>#DIV/0!</v>
      </c>
      <c r="F107" s="386">
        <f>ETPRECAP[[#This Row],[Heures ETP]]/RTT!$E$7</f>
        <v>0</v>
      </c>
      <c r="G107" s="386">
        <f>COUNTIF(SalCommune[Carrière],ETPRECAP[[#This Row],[Carrière]])</f>
        <v>0</v>
      </c>
      <c r="H107" s="386">
        <f>IF(ETPRECAP[[#This Row],[Nombre empl.]]=0,0,SUMIF(SalCommune[Carrière],ETPRECAP[[#This Row],[Carrière]],SalCommune[Années])/ETPRECAP[[#This Row],[Nombre empl.]])</f>
        <v>0</v>
      </c>
      <c r="I107" s="386">
        <f>SUMIFS(SalCommune[heures annuelles
selon contrat(s)],SalCommune[Allocations fonctions],"Encadrement",SalCommune[Carrière],ETPRECAP[[#This Row],[Carrière]])</f>
        <v>0</v>
      </c>
      <c r="J107" s="387" t="e">
        <f>ETPRECAP[[#This Row],[Heures ETP Encadrement]]/$I$15</f>
        <v>#DIV/0!</v>
      </c>
      <c r="K107" s="386">
        <f>ETPRECAP[[#This Row],[Heures ETP Encadrement]]/RTT!$E$7</f>
        <v>0</v>
      </c>
      <c r="L107" s="388"/>
    </row>
    <row r="108" spans="1:12" x14ac:dyDescent="0.25">
      <c r="A108" s="580"/>
      <c r="B108" s="82" t="s">
        <v>402</v>
      </c>
      <c r="C108" s="82" t="s">
        <v>3</v>
      </c>
      <c r="D108" s="386">
        <f>SUMIF(SalCommune[Carrière],ETPRECAP[[#This Row],[Carrière]],SalCommune[heures annuelles
selon contrat(s)])</f>
        <v>0</v>
      </c>
      <c r="E108" s="387" t="e">
        <f>ETPRECAP[[#This Row],[Heures ETP]]/$D$15</f>
        <v>#DIV/0!</v>
      </c>
      <c r="F108" s="386">
        <f>ETPRECAP[[#This Row],[Heures ETP]]/RTT!$E$7</f>
        <v>0</v>
      </c>
      <c r="G108" s="386">
        <f>COUNTIF(SalCommune[Carrière],ETPRECAP[[#This Row],[Carrière]])</f>
        <v>0</v>
      </c>
      <c r="H108" s="386">
        <f>IF(ETPRECAP[[#This Row],[Nombre empl.]]=0,0,SUMIF(SalCommune[Carrière],ETPRECAP[[#This Row],[Carrière]],SalCommune[Années])/ETPRECAP[[#This Row],[Nombre empl.]])</f>
        <v>0</v>
      </c>
      <c r="I108" s="386">
        <f>SUMIFS(SalCommune[heures annuelles
selon contrat(s)],SalCommune[Allocations fonctions],"Encadrement",SalCommune[Carrière],ETPRECAP[[#This Row],[Carrière]])</f>
        <v>0</v>
      </c>
      <c r="J108" s="387" t="e">
        <f>ETPRECAP[[#This Row],[Heures ETP Encadrement]]/$I$15</f>
        <v>#DIV/0!</v>
      </c>
      <c r="K108" s="386">
        <f>ETPRECAP[[#This Row],[Heures ETP Encadrement]]/RTT!$E$7</f>
        <v>0</v>
      </c>
      <c r="L108" s="388"/>
    </row>
    <row r="109" spans="1:12" x14ac:dyDescent="0.25">
      <c r="A109" s="580"/>
      <c r="B109" s="82" t="s">
        <v>403</v>
      </c>
      <c r="C109" s="82" t="s">
        <v>3</v>
      </c>
      <c r="D109" s="386">
        <f>SUMIF(SalCommune[Carrière],ETPRECAP[[#This Row],[Carrière]],SalCommune[heures annuelles
selon contrat(s)])</f>
        <v>0</v>
      </c>
      <c r="E109" s="387" t="e">
        <f>ETPRECAP[[#This Row],[Heures ETP]]/$D$15</f>
        <v>#DIV/0!</v>
      </c>
      <c r="F109" s="386">
        <f>ETPRECAP[[#This Row],[Heures ETP]]/RTT!$E$7</f>
        <v>0</v>
      </c>
      <c r="G109" s="386">
        <f>COUNTIF(SalCommune[Carrière],ETPRECAP[[#This Row],[Carrière]])</f>
        <v>0</v>
      </c>
      <c r="H109" s="386">
        <f>IF(ETPRECAP[[#This Row],[Nombre empl.]]=0,0,SUMIF(SalCommune[Carrière],ETPRECAP[[#This Row],[Carrière]],SalCommune[Années])/ETPRECAP[[#This Row],[Nombre empl.]])</f>
        <v>0</v>
      </c>
      <c r="I109" s="386">
        <f>SUMIFS(SalCommune[heures annuelles
selon contrat(s)],SalCommune[Allocations fonctions],"Encadrement",SalCommune[Carrière],ETPRECAP[[#This Row],[Carrière]])</f>
        <v>0</v>
      </c>
      <c r="J109" s="387" t="e">
        <f>ETPRECAP[[#This Row],[Heures ETP Encadrement]]/$I$15</f>
        <v>#DIV/0!</v>
      </c>
      <c r="K109" s="386">
        <f>ETPRECAP[[#This Row],[Heures ETP Encadrement]]/RTT!$E$7</f>
        <v>0</v>
      </c>
      <c r="L109" s="388"/>
    </row>
    <row r="110" spans="1:12" x14ac:dyDescent="0.25">
      <c r="A110" s="580"/>
      <c r="B110" s="82" t="s">
        <v>404</v>
      </c>
      <c r="C110" s="82" t="s">
        <v>3</v>
      </c>
      <c r="D110" s="386">
        <f>SUMIF(SalCommune[Carrière],ETPRECAP[[#This Row],[Carrière]],SalCommune[heures annuelles
selon contrat(s)])</f>
        <v>0</v>
      </c>
      <c r="E110" s="387" t="e">
        <f>ETPRECAP[[#This Row],[Heures ETP]]/$D$15</f>
        <v>#DIV/0!</v>
      </c>
      <c r="F110" s="386">
        <f>ETPRECAP[[#This Row],[Heures ETP]]/RTT!$E$7</f>
        <v>0</v>
      </c>
      <c r="G110" s="386">
        <f>COUNTIF(SalCommune[Carrière],ETPRECAP[[#This Row],[Carrière]])</f>
        <v>0</v>
      </c>
      <c r="H110" s="386">
        <f>IF(ETPRECAP[[#This Row],[Nombre empl.]]=0,0,SUMIF(SalCommune[Carrière],ETPRECAP[[#This Row],[Carrière]],SalCommune[Années])/ETPRECAP[[#This Row],[Nombre empl.]])</f>
        <v>0</v>
      </c>
      <c r="I110" s="386">
        <f>SUMIFS(SalCommune[heures annuelles
selon contrat(s)],SalCommune[Allocations fonctions],"Encadrement",SalCommune[Carrière],ETPRECAP[[#This Row],[Carrière]])</f>
        <v>0</v>
      </c>
      <c r="J110" s="387" t="e">
        <f>ETPRECAP[[#This Row],[Heures ETP Encadrement]]/$I$15</f>
        <v>#DIV/0!</v>
      </c>
      <c r="K110" s="386">
        <f>ETPRECAP[[#This Row],[Heures ETP Encadrement]]/RTT!$E$7</f>
        <v>0</v>
      </c>
      <c r="L110" s="388"/>
    </row>
    <row r="111" spans="1:12" x14ac:dyDescent="0.25">
      <c r="A111" s="580"/>
      <c r="B111" s="82" t="s">
        <v>405</v>
      </c>
      <c r="C111" s="82" t="s">
        <v>3</v>
      </c>
      <c r="D111" s="386">
        <f>SUMIF(SalCommune[Carrière],ETPRECAP[[#This Row],[Carrière]],SalCommune[heures annuelles
selon contrat(s)])</f>
        <v>0</v>
      </c>
      <c r="E111" s="387" t="e">
        <f>ETPRECAP[[#This Row],[Heures ETP]]/$D$15</f>
        <v>#DIV/0!</v>
      </c>
      <c r="F111" s="386">
        <f>ETPRECAP[[#This Row],[Heures ETP]]/RTT!$E$7</f>
        <v>0</v>
      </c>
      <c r="G111" s="386">
        <f>COUNTIF(SalCommune[Carrière],ETPRECAP[[#This Row],[Carrière]])</f>
        <v>0</v>
      </c>
      <c r="H111" s="386">
        <f>IF(ETPRECAP[[#This Row],[Nombre empl.]]=0,0,SUMIF(SalCommune[Carrière],ETPRECAP[[#This Row],[Carrière]],SalCommune[Années])/ETPRECAP[[#This Row],[Nombre empl.]])</f>
        <v>0</v>
      </c>
      <c r="I111" s="386">
        <f>SUMIFS(SalCommune[heures annuelles
selon contrat(s)],SalCommune[Allocations fonctions],"Encadrement",SalCommune[Carrière],ETPRECAP[[#This Row],[Carrière]])</f>
        <v>0</v>
      </c>
      <c r="J111" s="387" t="e">
        <f>ETPRECAP[[#This Row],[Heures ETP Encadrement]]/$I$15</f>
        <v>#DIV/0!</v>
      </c>
      <c r="K111" s="386">
        <f>ETPRECAP[[#This Row],[Heures ETP Encadrement]]/RTT!$E$7</f>
        <v>0</v>
      </c>
      <c r="L111" s="388"/>
    </row>
    <row r="112" spans="1:12" x14ac:dyDescent="0.25">
      <c r="A112" s="581"/>
      <c r="B112" s="389" t="s">
        <v>574</v>
      </c>
      <c r="C112" s="389" t="s">
        <v>3</v>
      </c>
      <c r="D112" s="390">
        <f>SUMIF(SalCommune[Carrière],ETPRECAP[[#This Row],[Carrière]],SalCommune[heures annuelles
selon contrat(s)])</f>
        <v>0</v>
      </c>
      <c r="E112" s="391" t="e">
        <f>ETPRECAP[[#This Row],[Heures ETP]]/$D$15</f>
        <v>#DIV/0!</v>
      </c>
      <c r="F112" s="390">
        <f>ETPRECAP[[#This Row],[Heures ETP]]/RTT!$E$7</f>
        <v>0</v>
      </c>
      <c r="G112" s="390">
        <f>COUNTIF(CCTSAS[Carrière],ETPRECAP[[#This Row],[Carrière]])</f>
        <v>0</v>
      </c>
      <c r="H112" s="390">
        <f>IF(ETPRECAP[[#This Row],[Nombre empl.]]=0,0,SUMIF(SalCommune[Carrière],ETPRECAP[[#This Row],[Carrière]],SalCommune[Années])/ETPRECAP[[#This Row],[Nombre empl.]])</f>
        <v>0</v>
      </c>
      <c r="I112" s="390">
        <f>SUMIFS(CCTSAS[heures annuelles
selon contrat(s)],CCTSAS[Allocation fonctions],"Encadrement",CCTSAS[Carrière],ETPRECAP[[#This Row],[Carrière]])</f>
        <v>0</v>
      </c>
      <c r="J112" s="391" t="e">
        <f>ETPRECAP[[#This Row],[Heures ETP Encadrement]]/$I$15</f>
        <v>#DIV/0!</v>
      </c>
      <c r="K112" s="390">
        <f>ETPRECAP[[#This Row],[Heures ETP Encadrement]]/RTT!$E$7</f>
        <v>0</v>
      </c>
      <c r="L112" s="392"/>
    </row>
    <row r="113" spans="1:12" x14ac:dyDescent="0.25">
      <c r="A113" s="579" t="s">
        <v>390</v>
      </c>
      <c r="B113" s="382" t="s">
        <v>406</v>
      </c>
      <c r="C113" s="382" t="s">
        <v>3</v>
      </c>
      <c r="D113" s="383">
        <f>SUMIF(SalCommune[Carrière],ETPRECAP[[#This Row],[Carrière]],SalCommune[heures annuelles
selon contrat(s)])</f>
        <v>0</v>
      </c>
      <c r="E113" s="384" t="e">
        <f>ETPRECAP[[#This Row],[Heures ETP]]/$D$15</f>
        <v>#DIV/0!</v>
      </c>
      <c r="F113" s="383">
        <f>ETPRECAP[[#This Row],[Heures ETP]]/RTT!$E$7</f>
        <v>0</v>
      </c>
      <c r="G113" s="383">
        <f>COUNTIF(SalCommune[Carrière],ETPRECAP[[#This Row],[Carrière]])</f>
        <v>0</v>
      </c>
      <c r="H113" s="383">
        <f>IF(ETPRECAP[[#This Row],[Nombre empl.]]=0,0,SUMIF(SalCommune[Carrière],ETPRECAP[[#This Row],[Carrière]],SalCommune[Années])/ETPRECAP[[#This Row],[Nombre empl.]])</f>
        <v>0</v>
      </c>
      <c r="I113" s="383">
        <f>SUMIFS(SalCommune[heures annuelles
selon contrat(s)],SalCommune[Allocations fonctions],"Encadrement",SalCommune[Carrière],ETPRECAP[[#This Row],[Carrière]])</f>
        <v>0</v>
      </c>
      <c r="J113" s="384" t="e">
        <f>ETPRECAP[[#This Row],[Heures ETP Encadrement]]/$I$15</f>
        <v>#DIV/0!</v>
      </c>
      <c r="K113" s="383">
        <f>ETPRECAP[[#This Row],[Heures ETP Encadrement]]/RTT!$E$7</f>
        <v>0</v>
      </c>
      <c r="L113" s="385"/>
    </row>
    <row r="114" spans="1:12" x14ac:dyDescent="0.25">
      <c r="A114" s="580"/>
      <c r="B114" s="82" t="s">
        <v>407</v>
      </c>
      <c r="C114" s="82" t="s">
        <v>3</v>
      </c>
      <c r="D114" s="386">
        <f>SUMIF(SalCommune[Carrière],ETPRECAP[[#This Row],[Carrière]],SalCommune[heures annuelles
selon contrat(s)])</f>
        <v>0</v>
      </c>
      <c r="E114" s="387" t="e">
        <f>ETPRECAP[[#This Row],[Heures ETP]]/$D$15</f>
        <v>#DIV/0!</v>
      </c>
      <c r="F114" s="386">
        <f>ETPRECAP[[#This Row],[Heures ETP]]/RTT!$E$7</f>
        <v>0</v>
      </c>
      <c r="G114" s="386">
        <f>COUNTIF(SalCommune[Carrière],ETPRECAP[[#This Row],[Carrière]])</f>
        <v>0</v>
      </c>
      <c r="H114" s="386">
        <f>IF(ETPRECAP[[#This Row],[Nombre empl.]]=0,0,SUMIF(SalCommune[Carrière],ETPRECAP[[#This Row],[Carrière]],SalCommune[Années])/ETPRECAP[[#This Row],[Nombre empl.]])</f>
        <v>0</v>
      </c>
      <c r="I114" s="386">
        <f>SUMIFS(SalCommune[heures annuelles
selon contrat(s)],SalCommune[Allocations fonctions],"Encadrement",SalCommune[Carrière],ETPRECAP[[#This Row],[Carrière]])</f>
        <v>0</v>
      </c>
      <c r="J114" s="387" t="e">
        <f>ETPRECAP[[#This Row],[Heures ETP Encadrement]]/$I$15</f>
        <v>#DIV/0!</v>
      </c>
      <c r="K114" s="386">
        <f>ETPRECAP[[#This Row],[Heures ETP Encadrement]]/RTT!$E$7</f>
        <v>0</v>
      </c>
      <c r="L114" s="388"/>
    </row>
    <row r="115" spans="1:12" x14ac:dyDescent="0.25">
      <c r="A115" s="580"/>
      <c r="B115" s="82" t="s">
        <v>408</v>
      </c>
      <c r="C115" s="82" t="s">
        <v>3</v>
      </c>
      <c r="D115" s="386">
        <f>SUMIF(SalCommune[Carrière],ETPRECAP[[#This Row],[Carrière]],SalCommune[heures annuelles
selon contrat(s)])</f>
        <v>0</v>
      </c>
      <c r="E115" s="387" t="e">
        <f>ETPRECAP[[#This Row],[Heures ETP]]/$D$15</f>
        <v>#DIV/0!</v>
      </c>
      <c r="F115" s="386">
        <f>ETPRECAP[[#This Row],[Heures ETP]]/RTT!$E$7</f>
        <v>0</v>
      </c>
      <c r="G115" s="386">
        <f>COUNTIF(SalCommune[Carrière],ETPRECAP[[#This Row],[Carrière]])</f>
        <v>0</v>
      </c>
      <c r="H115" s="386">
        <f>IF(ETPRECAP[[#This Row],[Nombre empl.]]=0,0,SUMIF(SalCommune[Carrière],ETPRECAP[[#This Row],[Carrière]],SalCommune[Années])/ETPRECAP[[#This Row],[Nombre empl.]])</f>
        <v>0</v>
      </c>
      <c r="I115" s="386">
        <f>SUMIFS(SalCommune[heures annuelles
selon contrat(s)],SalCommune[Allocations fonctions],"Encadrement",SalCommune[Carrière],ETPRECAP[[#This Row],[Carrière]])</f>
        <v>0</v>
      </c>
      <c r="J115" s="387" t="e">
        <f>ETPRECAP[[#This Row],[Heures ETP Encadrement]]/$I$15</f>
        <v>#DIV/0!</v>
      </c>
      <c r="K115" s="386">
        <f>ETPRECAP[[#This Row],[Heures ETP Encadrement]]/RTT!$E$7</f>
        <v>0</v>
      </c>
      <c r="L115" s="388"/>
    </row>
    <row r="116" spans="1:12" x14ac:dyDescent="0.25">
      <c r="A116" s="580"/>
      <c r="B116" s="82" t="s">
        <v>409</v>
      </c>
      <c r="C116" s="82" t="s">
        <v>3</v>
      </c>
      <c r="D116" s="386">
        <f>SUMIF(SalCommune[Carrière],ETPRECAP[[#This Row],[Carrière]],SalCommune[heures annuelles
selon contrat(s)])</f>
        <v>0</v>
      </c>
      <c r="E116" s="387" t="e">
        <f>ETPRECAP[[#This Row],[Heures ETP]]/$D$15</f>
        <v>#DIV/0!</v>
      </c>
      <c r="F116" s="386">
        <f>ETPRECAP[[#This Row],[Heures ETP]]/RTT!$E$7</f>
        <v>0</v>
      </c>
      <c r="G116" s="386">
        <f>COUNTIF(SalCommune[Carrière],ETPRECAP[[#This Row],[Carrière]])</f>
        <v>0</v>
      </c>
      <c r="H116" s="386">
        <f>IF(ETPRECAP[[#This Row],[Nombre empl.]]=0,0,SUMIF(SalCommune[Carrière],ETPRECAP[[#This Row],[Carrière]],SalCommune[Années])/ETPRECAP[[#This Row],[Nombre empl.]])</f>
        <v>0</v>
      </c>
      <c r="I116" s="386">
        <f>SUMIFS(SalCommune[heures annuelles
selon contrat(s)],SalCommune[Allocations fonctions],"Encadrement",SalCommune[Carrière],ETPRECAP[[#This Row],[Carrière]])</f>
        <v>0</v>
      </c>
      <c r="J116" s="387" t="e">
        <f>ETPRECAP[[#This Row],[Heures ETP Encadrement]]/$I$15</f>
        <v>#DIV/0!</v>
      </c>
      <c r="K116" s="386">
        <f>ETPRECAP[[#This Row],[Heures ETP Encadrement]]/RTT!$E$7</f>
        <v>0</v>
      </c>
      <c r="L116" s="388"/>
    </row>
    <row r="117" spans="1:12" x14ac:dyDescent="0.25">
      <c r="A117" s="580"/>
      <c r="B117" s="82" t="s">
        <v>410</v>
      </c>
      <c r="C117" s="82" t="s">
        <v>3</v>
      </c>
      <c r="D117" s="386">
        <f>SUMIF(SalCommune[Carrière],ETPRECAP[[#This Row],[Carrière]],SalCommune[heures annuelles
selon contrat(s)])</f>
        <v>0</v>
      </c>
      <c r="E117" s="387" t="e">
        <f>ETPRECAP[[#This Row],[Heures ETP]]/$D$15</f>
        <v>#DIV/0!</v>
      </c>
      <c r="F117" s="386">
        <f>ETPRECAP[[#This Row],[Heures ETP]]/RTT!$E$7</f>
        <v>0</v>
      </c>
      <c r="G117" s="386">
        <f>COUNTIF(SalCommune[Carrière],ETPRECAP[[#This Row],[Carrière]])</f>
        <v>0</v>
      </c>
      <c r="H117" s="386">
        <f>IF(ETPRECAP[[#This Row],[Nombre empl.]]=0,0,SUMIF(SalCommune[Carrière],ETPRECAP[[#This Row],[Carrière]],SalCommune[Années])/ETPRECAP[[#This Row],[Nombre empl.]])</f>
        <v>0</v>
      </c>
      <c r="I117" s="386">
        <f>SUMIFS(SalCommune[heures annuelles
selon contrat(s)],SalCommune[Allocations fonctions],"Encadrement",SalCommune[Carrière],ETPRECAP[[#This Row],[Carrière]])</f>
        <v>0</v>
      </c>
      <c r="J117" s="387" t="e">
        <f>ETPRECAP[[#This Row],[Heures ETP Encadrement]]/$I$15</f>
        <v>#DIV/0!</v>
      </c>
      <c r="K117" s="386">
        <f>ETPRECAP[[#This Row],[Heures ETP Encadrement]]/RTT!$E$7</f>
        <v>0</v>
      </c>
      <c r="L117" s="388"/>
    </row>
    <row r="118" spans="1:12" x14ac:dyDescent="0.25">
      <c r="A118" s="580"/>
      <c r="B118" s="82" t="s">
        <v>411</v>
      </c>
      <c r="C118" s="82" t="s">
        <v>3</v>
      </c>
      <c r="D118" s="386">
        <f>SUMIF(SalCommune[Carrière],ETPRECAP[[#This Row],[Carrière]],SalCommune[heures annuelles
selon contrat(s)])</f>
        <v>0</v>
      </c>
      <c r="E118" s="387" t="e">
        <f>ETPRECAP[[#This Row],[Heures ETP]]/$D$15</f>
        <v>#DIV/0!</v>
      </c>
      <c r="F118" s="386">
        <f>ETPRECAP[[#This Row],[Heures ETP]]/RTT!$E$7</f>
        <v>0</v>
      </c>
      <c r="G118" s="386">
        <f>COUNTIF(SalCommune[Carrière],ETPRECAP[[#This Row],[Carrière]])</f>
        <v>0</v>
      </c>
      <c r="H118" s="386">
        <f>IF(ETPRECAP[[#This Row],[Nombre empl.]]=0,0,SUMIF(SalCommune[Carrière],ETPRECAP[[#This Row],[Carrière]],SalCommune[Années])/ETPRECAP[[#This Row],[Nombre empl.]])</f>
        <v>0</v>
      </c>
      <c r="I118" s="386">
        <f>SUMIFS(SalCommune[heures annuelles
selon contrat(s)],SalCommune[Allocations fonctions],"Encadrement",SalCommune[Carrière],ETPRECAP[[#This Row],[Carrière]])</f>
        <v>0</v>
      </c>
      <c r="J118" s="387" t="e">
        <f>ETPRECAP[[#This Row],[Heures ETP Encadrement]]/$I$15</f>
        <v>#DIV/0!</v>
      </c>
      <c r="K118" s="386">
        <f>ETPRECAP[[#This Row],[Heures ETP Encadrement]]/RTT!$E$7</f>
        <v>0</v>
      </c>
      <c r="L118" s="388"/>
    </row>
    <row r="119" spans="1:12" x14ac:dyDescent="0.25">
      <c r="A119" s="580"/>
      <c r="B119" s="82" t="s">
        <v>572</v>
      </c>
      <c r="C119" s="82" t="s">
        <v>3</v>
      </c>
      <c r="D119" s="386">
        <f>SUMIF(SalCommune[Carrière],ETPRECAP[[#This Row],[Carrière]],SalCommune[heures annuelles
selon contrat(s)])</f>
        <v>0</v>
      </c>
      <c r="E119" s="387" t="e">
        <f>ETPRECAP[[#This Row],[Heures ETP]]/$D$15</f>
        <v>#DIV/0!</v>
      </c>
      <c r="F119" s="386">
        <f>ETPRECAP[[#This Row],[Heures ETP]]/RTT!$E$7</f>
        <v>0</v>
      </c>
      <c r="G119" s="386">
        <f>COUNTIF(SalCommune[Carrière],ETPRECAP[[#This Row],[Carrière]])</f>
        <v>0</v>
      </c>
      <c r="H119" s="386">
        <f>IF(ETPRECAP[[#This Row],[Nombre empl.]]=0,0,SUMIF(SalCommune[Carrière],ETPRECAP[[#This Row],[Carrière]],SalCommune[Années])/ETPRECAP[[#This Row],[Nombre empl.]])</f>
        <v>0</v>
      </c>
      <c r="I119" s="386">
        <f>SUMIFS(SalCommune[heures annuelles
selon contrat(s)],SalCommune[Allocations fonctions],"Encadrement",SalCommune[Carrière],ETPRECAP[[#This Row],[Carrière]])</f>
        <v>0</v>
      </c>
      <c r="J119" s="387" t="e">
        <f>ETPRECAP[[#This Row],[Heures ETP Encadrement]]/$I$15</f>
        <v>#DIV/0!</v>
      </c>
      <c r="K119" s="386">
        <f>ETPRECAP[[#This Row],[Heures ETP Encadrement]]/RTT!$E$7</f>
        <v>0</v>
      </c>
      <c r="L119" s="388"/>
    </row>
    <row r="120" spans="1:12" x14ac:dyDescent="0.25">
      <c r="A120" s="580"/>
      <c r="B120" s="82" t="s">
        <v>246</v>
      </c>
      <c r="C120" s="82" t="s">
        <v>3</v>
      </c>
      <c r="D120" s="386">
        <f>SUMIF(SalCommune[Carrière],ETPRECAP[[#This Row],[Carrière]],SalCommune[heures annuelles
selon contrat(s)])</f>
        <v>0</v>
      </c>
      <c r="E120" s="387" t="e">
        <f>ETPRECAP[[#This Row],[Heures ETP]]/$D$15</f>
        <v>#DIV/0!</v>
      </c>
      <c r="F120" s="386">
        <f>ETPRECAP[[#This Row],[Heures ETP]]/RTT!$E$7</f>
        <v>0</v>
      </c>
      <c r="G120" s="386">
        <f>COUNTIF(SalCommune[Carrière],ETPRECAP[[#This Row],[Carrière]])</f>
        <v>0</v>
      </c>
      <c r="H120" s="386">
        <f>IF(ETPRECAP[[#This Row],[Nombre empl.]]=0,0,SUMIF(SalCommune[Carrière],ETPRECAP[[#This Row],[Carrière]],SalCommune[Années])/ETPRECAP[[#This Row],[Nombre empl.]])</f>
        <v>0</v>
      </c>
      <c r="I120" s="386">
        <f>SUMIFS(SalCommune[heures annuelles
selon contrat(s)],SalCommune[Allocations fonctions],"Encadrement",SalCommune[Carrière],ETPRECAP[[#This Row],[Carrière]])</f>
        <v>0</v>
      </c>
      <c r="J120" s="387" t="e">
        <f>ETPRECAP[[#This Row],[Heures ETP Encadrement]]/$I$15</f>
        <v>#DIV/0!</v>
      </c>
      <c r="K120" s="386">
        <f>ETPRECAP[[#This Row],[Heures ETP Encadrement]]/RTT!$E$7</f>
        <v>0</v>
      </c>
      <c r="L120" s="388"/>
    </row>
    <row r="121" spans="1:12" x14ac:dyDescent="0.25">
      <c r="A121" s="580"/>
      <c r="B121" s="82" t="s">
        <v>573</v>
      </c>
      <c r="C121" s="82" t="s">
        <v>3</v>
      </c>
      <c r="D121" s="386">
        <f>SUMIF(SalCommune[Carrière],ETPRECAP[[#This Row],[Carrière]],SalCommune[heures annuelles
selon contrat(s)])</f>
        <v>0</v>
      </c>
      <c r="E121" s="387" t="e">
        <f>ETPRECAP[[#This Row],[Heures ETP]]/$D$15</f>
        <v>#DIV/0!</v>
      </c>
      <c r="F121" s="386">
        <f>ETPRECAP[[#This Row],[Heures ETP]]/RTT!$E$7</f>
        <v>0</v>
      </c>
      <c r="G121" s="386">
        <f>COUNTIF(SalCommune[Carrière],ETPRECAP[[#This Row],[Carrière]])</f>
        <v>0</v>
      </c>
      <c r="H121" s="386">
        <f>IF(ETPRECAP[[#This Row],[Nombre empl.]]=0,0,SUMIF(SalCommune[Carrière],ETPRECAP[[#This Row],[Carrière]],SalCommune[Années])/ETPRECAP[[#This Row],[Nombre empl.]])</f>
        <v>0</v>
      </c>
      <c r="I121" s="386">
        <f>SUMIFS(SalCommune[heures annuelles
selon contrat(s)],SalCommune[Allocations fonctions],"Encadrement",SalCommune[Carrière],ETPRECAP[[#This Row],[Carrière]])</f>
        <v>0</v>
      </c>
      <c r="J121" s="387" t="e">
        <f>ETPRECAP[[#This Row],[Heures ETP Encadrement]]/$I$15</f>
        <v>#DIV/0!</v>
      </c>
      <c r="K121" s="386">
        <f>ETPRECAP[[#This Row],[Heures ETP Encadrement]]/RTT!$E$7</f>
        <v>0</v>
      </c>
      <c r="L121" s="388"/>
    </row>
    <row r="122" spans="1:12" x14ac:dyDescent="0.25">
      <c r="A122" s="580"/>
      <c r="B122" s="82" t="s">
        <v>412</v>
      </c>
      <c r="C122" s="82" t="s">
        <v>3</v>
      </c>
      <c r="D122" s="386">
        <f>SUMIF(SalCommune[Carrière],ETPRECAP[[#This Row],[Carrière]],SalCommune[heures annuelles
selon contrat(s)])</f>
        <v>0</v>
      </c>
      <c r="E122" s="387" t="e">
        <f>ETPRECAP[[#This Row],[Heures ETP]]/$D$15</f>
        <v>#DIV/0!</v>
      </c>
      <c r="F122" s="386">
        <f>ETPRECAP[[#This Row],[Heures ETP]]/RTT!$E$7</f>
        <v>0</v>
      </c>
      <c r="G122" s="386">
        <f>COUNTIF(SalCommune[Carrière],ETPRECAP[[#This Row],[Carrière]])</f>
        <v>0</v>
      </c>
      <c r="H122" s="386">
        <f>IF(ETPRECAP[[#This Row],[Nombre empl.]]=0,0,SUMIF(SalCommune[Carrière],ETPRECAP[[#This Row],[Carrière]],SalCommune[Années])/ETPRECAP[[#This Row],[Nombre empl.]])</f>
        <v>0</v>
      </c>
      <c r="I122" s="386">
        <f>SUMIFS(SalCommune[heures annuelles
selon contrat(s)],SalCommune[Allocations fonctions],"Encadrement",SalCommune[Carrière],ETPRECAP[[#This Row],[Carrière]])</f>
        <v>0</v>
      </c>
      <c r="J122" s="387" t="e">
        <f>ETPRECAP[[#This Row],[Heures ETP Encadrement]]/$I$15</f>
        <v>#DIV/0!</v>
      </c>
      <c r="K122" s="386">
        <f>ETPRECAP[[#This Row],[Heures ETP Encadrement]]/RTT!$E$7</f>
        <v>0</v>
      </c>
      <c r="L122" s="388"/>
    </row>
    <row r="123" spans="1:12" x14ac:dyDescent="0.25">
      <c r="A123" s="580"/>
      <c r="B123" s="82" t="s">
        <v>413</v>
      </c>
      <c r="C123" s="82" t="s">
        <v>3</v>
      </c>
      <c r="D123" s="386">
        <f>SUMIF(SalCommune[Carrière],ETPRECAP[[#This Row],[Carrière]],SalCommune[heures annuelles
selon contrat(s)])</f>
        <v>0</v>
      </c>
      <c r="E123" s="387" t="e">
        <f>ETPRECAP[[#This Row],[Heures ETP]]/$D$15</f>
        <v>#DIV/0!</v>
      </c>
      <c r="F123" s="386">
        <f>ETPRECAP[[#This Row],[Heures ETP]]/RTT!$E$7</f>
        <v>0</v>
      </c>
      <c r="G123" s="386">
        <f>COUNTIF(SalCommune[Carrière],ETPRECAP[[#This Row],[Carrière]])</f>
        <v>0</v>
      </c>
      <c r="H123" s="386">
        <f>IF(ETPRECAP[[#This Row],[Nombre empl.]]=0,0,SUMIF(SalCommune[Carrière],ETPRECAP[[#This Row],[Carrière]],SalCommune[Années])/ETPRECAP[[#This Row],[Nombre empl.]])</f>
        <v>0</v>
      </c>
      <c r="I123" s="386">
        <f>SUMIFS(SalCommune[heures annuelles
selon contrat(s)],SalCommune[Allocations fonctions],"Encadrement",SalCommune[Carrière],ETPRECAP[[#This Row],[Carrière]])</f>
        <v>0</v>
      </c>
      <c r="J123" s="387" t="e">
        <f>ETPRECAP[[#This Row],[Heures ETP Encadrement]]/$I$15</f>
        <v>#DIV/0!</v>
      </c>
      <c r="K123" s="386">
        <f>ETPRECAP[[#This Row],[Heures ETP Encadrement]]/RTT!$E$7</f>
        <v>0</v>
      </c>
      <c r="L123" s="388"/>
    </row>
    <row r="124" spans="1:12" x14ac:dyDescent="0.25">
      <c r="A124" s="580"/>
      <c r="B124" s="82" t="s">
        <v>244</v>
      </c>
      <c r="C124" s="82" t="s">
        <v>3</v>
      </c>
      <c r="D124" s="386">
        <f>SUMIF(SalCommune[Carrière],ETPRECAP[[#This Row],[Carrière]],SalCommune[heures annuelles
selon contrat(s)])</f>
        <v>0</v>
      </c>
      <c r="E124" s="387" t="e">
        <f>ETPRECAP[[#This Row],[Heures ETP]]/$D$15</f>
        <v>#DIV/0!</v>
      </c>
      <c r="F124" s="386">
        <f>ETPRECAP[[#This Row],[Heures ETP]]/RTT!$E$7</f>
        <v>0</v>
      </c>
      <c r="G124" s="386">
        <f>COUNTIF(SalCommune[Carrière],ETPRECAP[[#This Row],[Carrière]])</f>
        <v>0</v>
      </c>
      <c r="H124" s="386">
        <f>IF(ETPRECAP[[#This Row],[Nombre empl.]]=0,0,SUMIF(SalCommune[Carrière],ETPRECAP[[#This Row],[Carrière]],SalCommune[Années])/ETPRECAP[[#This Row],[Nombre empl.]])</f>
        <v>0</v>
      </c>
      <c r="I124" s="386">
        <f>SUMIFS(SalCommune[heures annuelles
selon contrat(s)],SalCommune[Allocations fonctions],"Encadrement",SalCommune[Carrière],ETPRECAP[[#This Row],[Carrière]])</f>
        <v>0</v>
      </c>
      <c r="J124" s="387" t="e">
        <f>ETPRECAP[[#This Row],[Heures ETP Encadrement]]/$I$15</f>
        <v>#DIV/0!</v>
      </c>
      <c r="K124" s="386">
        <f>ETPRECAP[[#This Row],[Heures ETP Encadrement]]/RTT!$E$7</f>
        <v>0</v>
      </c>
      <c r="L124" s="388"/>
    </row>
    <row r="125" spans="1:12" x14ac:dyDescent="0.25">
      <c r="A125" s="580"/>
      <c r="B125" s="82" t="s">
        <v>247</v>
      </c>
      <c r="C125" s="82" t="s">
        <v>3</v>
      </c>
      <c r="D125" s="386">
        <f>SUMIF(SalCommune[Carrière],ETPRECAP[[#This Row],[Carrière]],SalCommune[heures annuelles
selon contrat(s)])</f>
        <v>0</v>
      </c>
      <c r="E125" s="387" t="e">
        <f>ETPRECAP[[#This Row],[Heures ETP]]/$D$15</f>
        <v>#DIV/0!</v>
      </c>
      <c r="F125" s="386">
        <f>ETPRECAP[[#This Row],[Heures ETP]]/RTT!$E$7</f>
        <v>0</v>
      </c>
      <c r="G125" s="386">
        <f>COUNTIF(SalCommune[Carrière],ETPRECAP[[#This Row],[Carrière]])</f>
        <v>0</v>
      </c>
      <c r="H125" s="386">
        <f>IF(ETPRECAP[[#This Row],[Nombre empl.]]=0,0,SUMIF(SalCommune[Carrière],ETPRECAP[[#This Row],[Carrière]],SalCommune[Années])/ETPRECAP[[#This Row],[Nombre empl.]])</f>
        <v>0</v>
      </c>
      <c r="I125" s="386">
        <f>SUMIFS(SalCommune[heures annuelles
selon contrat(s)],SalCommune[Allocations fonctions],"Encadrement",SalCommune[Carrière],ETPRECAP[[#This Row],[Carrière]])</f>
        <v>0</v>
      </c>
      <c r="J125" s="387" t="e">
        <f>ETPRECAP[[#This Row],[Heures ETP Encadrement]]/$I$15</f>
        <v>#DIV/0!</v>
      </c>
      <c r="K125" s="386">
        <f>ETPRECAP[[#This Row],[Heures ETP Encadrement]]/RTT!$E$7</f>
        <v>0</v>
      </c>
      <c r="L125" s="388"/>
    </row>
    <row r="126" spans="1:12" x14ac:dyDescent="0.25">
      <c r="A126" s="580"/>
      <c r="B126" s="82" t="s">
        <v>414</v>
      </c>
      <c r="C126" s="82" t="s">
        <v>3</v>
      </c>
      <c r="D126" s="386">
        <f>SUMIF(SalCommune[Carrière],ETPRECAP[[#This Row],[Carrière]],SalCommune[heures annuelles
selon contrat(s)])</f>
        <v>0</v>
      </c>
      <c r="E126" s="387" t="e">
        <f>ETPRECAP[[#This Row],[Heures ETP]]/$D$15</f>
        <v>#DIV/0!</v>
      </c>
      <c r="F126" s="386">
        <f>ETPRECAP[[#This Row],[Heures ETP]]/RTT!$E$7</f>
        <v>0</v>
      </c>
      <c r="G126" s="386">
        <f>COUNTIF(SalCommune[Carrière],ETPRECAP[[#This Row],[Carrière]])</f>
        <v>0</v>
      </c>
      <c r="H126" s="386">
        <f>IF(ETPRECAP[[#This Row],[Nombre empl.]]=0,0,SUMIF(SalCommune[Carrière],ETPRECAP[[#This Row],[Carrière]],SalCommune[Années])/ETPRECAP[[#This Row],[Nombre empl.]])</f>
        <v>0</v>
      </c>
      <c r="I126" s="386">
        <f>SUMIFS(SalCommune[heures annuelles
selon contrat(s)],SalCommune[Allocations fonctions],"Encadrement",SalCommune[Carrière],ETPRECAP[[#This Row],[Carrière]])</f>
        <v>0</v>
      </c>
      <c r="J126" s="387" t="e">
        <f>ETPRECAP[[#This Row],[Heures ETP Encadrement]]/$I$15</f>
        <v>#DIV/0!</v>
      </c>
      <c r="K126" s="386">
        <f>ETPRECAP[[#This Row],[Heures ETP Encadrement]]/RTT!$E$7</f>
        <v>0</v>
      </c>
      <c r="L126" s="388"/>
    </row>
    <row r="127" spans="1:12" x14ac:dyDescent="0.25">
      <c r="A127" s="581"/>
      <c r="B127" s="389" t="s">
        <v>371</v>
      </c>
      <c r="C127" s="389" t="s">
        <v>3</v>
      </c>
      <c r="D127" s="390">
        <f>SUMIF(SalCommune[Carrière],ETPRECAP[[#This Row],[Carrière]],SalCommune[heures annuelles
selon contrat(s)])</f>
        <v>0</v>
      </c>
      <c r="E127" s="391" t="e">
        <f>ETPRECAP[[#This Row],[Heures ETP]]/$D$15</f>
        <v>#DIV/0!</v>
      </c>
      <c r="F127" s="390">
        <f>ETPRECAP[[#This Row],[Heures ETP]]/RTT!$E$7</f>
        <v>0</v>
      </c>
      <c r="G127" s="390">
        <f>COUNTIF(SalCommune[Carrière],ETPRECAP[[#This Row],[Carrière]])</f>
        <v>0</v>
      </c>
      <c r="H127" s="390">
        <f>IF(ETPRECAP[[#This Row],[Nombre empl.]]=0,0,SUMIF(SalCommune[Carrière],ETPRECAP[[#This Row],[Carrière]],SalCommune[Années])/ETPRECAP[[#This Row],[Nombre empl.]])</f>
        <v>0</v>
      </c>
      <c r="I127" s="390">
        <f>SUMIFS(SalCommune[heures annuelles
selon contrat(s)],SalCommune[Allocations fonctions],"Encadrement",SalCommune[Carrière],ETPRECAP[[#This Row],[Carrière]])</f>
        <v>0</v>
      </c>
      <c r="J127" s="391" t="e">
        <f>ETPRECAP[[#This Row],[Heures ETP Encadrement]]/$I$15</f>
        <v>#DIV/0!</v>
      </c>
      <c r="K127" s="390">
        <f>ETPRECAP[[#This Row],[Heures ETP Encadrement]]/RTT!$E$7</f>
        <v>0</v>
      </c>
      <c r="L127" s="392"/>
    </row>
    <row r="128" spans="1:12" x14ac:dyDescent="0.25">
      <c r="A128" s="579" t="s">
        <v>391</v>
      </c>
      <c r="B128" s="382" t="s">
        <v>369</v>
      </c>
      <c r="C128" s="382" t="s">
        <v>3</v>
      </c>
      <c r="D128" s="383">
        <f>SUMIF(SalCommune[Carrière],ETPRECAP[[#This Row],[Carrière]],SalCommune[heures annuelles
selon contrat(s)])</f>
        <v>0</v>
      </c>
      <c r="E128" s="384" t="e">
        <f>ETPRECAP[[#This Row],[Heures ETP]]/$D$15</f>
        <v>#DIV/0!</v>
      </c>
      <c r="F128" s="383">
        <f>ETPRECAP[[#This Row],[Heures ETP]]/RTT!$E$7</f>
        <v>0</v>
      </c>
      <c r="G128" s="383">
        <f>COUNTIF(SalCommune[Carrière],ETPRECAP[[#This Row],[Carrière]])</f>
        <v>0</v>
      </c>
      <c r="H128" s="383">
        <f>IF(ETPRECAP[[#This Row],[Nombre empl.]]=0,0,SUMIF(SalCommune[Carrière],ETPRECAP[[#This Row],[Carrière]],SalCommune[Années])/ETPRECAP[[#This Row],[Nombre empl.]])</f>
        <v>0</v>
      </c>
      <c r="I128" s="383">
        <f>SUMIFS(SalCommune[heures annuelles
selon contrat(s)],SalCommune[Allocations fonctions],"Encadrement",SalCommune[Carrière],ETPRECAP[[#This Row],[Carrière]])</f>
        <v>0</v>
      </c>
      <c r="J128" s="384" t="e">
        <f>ETPRECAP[[#This Row],[Heures ETP Encadrement]]/$I$15</f>
        <v>#DIV/0!</v>
      </c>
      <c r="K128" s="383">
        <f>ETPRECAP[[#This Row],[Heures ETP Encadrement]]/RTT!$E$7</f>
        <v>0</v>
      </c>
      <c r="L128" s="385"/>
    </row>
    <row r="129" spans="1:12" x14ac:dyDescent="0.25">
      <c r="A129" s="580"/>
      <c r="B129" s="82" t="s">
        <v>370</v>
      </c>
      <c r="C129" s="82" t="s">
        <v>3</v>
      </c>
      <c r="D129" s="386">
        <f>SUMIF(SalCommune[Carrière],ETPRECAP[[#This Row],[Carrière]],SalCommune[heures annuelles
selon contrat(s)])</f>
        <v>0</v>
      </c>
      <c r="E129" s="387" t="e">
        <f>ETPRECAP[[#This Row],[Heures ETP]]/$D$15</f>
        <v>#DIV/0!</v>
      </c>
      <c r="F129" s="386">
        <f>ETPRECAP[[#This Row],[Heures ETP]]/RTT!$E$7</f>
        <v>0</v>
      </c>
      <c r="G129" s="386">
        <f>COUNTIF(SalCommune[Carrière],ETPRECAP[[#This Row],[Carrière]])</f>
        <v>0</v>
      </c>
      <c r="H129" s="386">
        <f>IF(ETPRECAP[[#This Row],[Nombre empl.]]=0,0,SUMIF(SalCommune[Carrière],ETPRECAP[[#This Row],[Carrière]],SalCommune[Années])/ETPRECAP[[#This Row],[Nombre empl.]])</f>
        <v>0</v>
      </c>
      <c r="I129" s="386">
        <f>SUMIFS(SalCommune[heures annuelles
selon contrat(s)],SalCommune[Allocations fonctions],"Encadrement",SalCommune[Carrière],ETPRECAP[[#This Row],[Carrière]])</f>
        <v>0</v>
      </c>
      <c r="J129" s="387" t="e">
        <f>ETPRECAP[[#This Row],[Heures ETP Encadrement]]/$I$15</f>
        <v>#DIV/0!</v>
      </c>
      <c r="K129" s="386">
        <f>ETPRECAP[[#This Row],[Heures ETP Encadrement]]/RTT!$E$7</f>
        <v>0</v>
      </c>
      <c r="L129" s="388"/>
    </row>
    <row r="130" spans="1:12" x14ac:dyDescent="0.25">
      <c r="A130" s="580"/>
      <c r="B130" s="82" t="s">
        <v>575</v>
      </c>
      <c r="C130" s="82" t="s">
        <v>3</v>
      </c>
      <c r="D130" s="386">
        <f>SUMIF(SalCommune[Carrière],ETPRECAP[[#This Row],[Carrière]],SalCommune[heures annuelles
selon contrat(s)])</f>
        <v>0</v>
      </c>
      <c r="E130" s="387" t="e">
        <f>ETPRECAP[[#This Row],[Heures ETP]]/$D$15</f>
        <v>#DIV/0!</v>
      </c>
      <c r="F130" s="386">
        <f>ETPRECAP[[#This Row],[Heures ETP]]/RTT!$E$7</f>
        <v>0</v>
      </c>
      <c r="G130" s="386">
        <f>COUNTIF(SalCommune[Carrière],ETPRECAP[[#This Row],[Carrière]])</f>
        <v>0</v>
      </c>
      <c r="H130" s="386">
        <f>IF(ETPRECAP[[#This Row],[Nombre empl.]]=0,0,SUMIF(SalCommune[Carrière],ETPRECAP[[#This Row],[Carrière]],SalCommune[Années])/ETPRECAP[[#This Row],[Nombre empl.]])</f>
        <v>0</v>
      </c>
      <c r="I130" s="386">
        <f>SUMIFS(SalCommune[heures annuelles
selon contrat(s)],SalCommune[Allocations fonctions],"Encadrement",SalCommune[Carrière],ETPRECAP[[#This Row],[Carrière]])</f>
        <v>0</v>
      </c>
      <c r="J130" s="387" t="e">
        <f>ETPRECAP[[#This Row],[Heures ETP Encadrement]]/$I$15</f>
        <v>#DIV/0!</v>
      </c>
      <c r="K130" s="386">
        <f>ETPRECAP[[#This Row],[Heures ETP Encadrement]]/RTT!$E$7</f>
        <v>0</v>
      </c>
      <c r="L130" s="388"/>
    </row>
    <row r="131" spans="1:12" x14ac:dyDescent="0.25">
      <c r="A131" s="581"/>
      <c r="B131" s="389" t="s">
        <v>206</v>
      </c>
      <c r="C131" s="389" t="s">
        <v>3</v>
      </c>
      <c r="D131" s="390">
        <f>SUMIF(SalCommune[Carrière],ETPRECAP[[#This Row],[Carrière]],SalCommune[heures annuelles
selon contrat(s)])</f>
        <v>0</v>
      </c>
      <c r="E131" s="391" t="e">
        <f>ETPRECAP[[#This Row],[Heures ETP]]/$D$15</f>
        <v>#DIV/0!</v>
      </c>
      <c r="F131" s="390">
        <f>ETPRECAP[[#This Row],[Heures ETP]]/RTT!$E$7</f>
        <v>0</v>
      </c>
      <c r="G131" s="390">
        <f>COUNTIF(SalCommune[Carrière],ETPRECAP[[#This Row],[Carrière]])</f>
        <v>0</v>
      </c>
      <c r="H131" s="390">
        <f>IF(ETPRECAP[[#This Row],[Nombre empl.]]=0,0,SUMIF(SalCommune[Carrière],ETPRECAP[[#This Row],[Carrière]],SalCommune[Années])/ETPRECAP[[#This Row],[Nombre empl.]])</f>
        <v>0</v>
      </c>
      <c r="I131" s="390">
        <f>SUMIFS(SalCommune[heures annuelles
selon contrat(s)],SalCommune[Allocations fonctions],"Encadrement",SalCommune[Carrière],ETPRECAP[[#This Row],[Carrière]])</f>
        <v>0</v>
      </c>
      <c r="J131" s="391" t="e">
        <f>ETPRECAP[[#This Row],[Heures ETP Encadrement]]/$I$15</f>
        <v>#DIV/0!</v>
      </c>
      <c r="K131" s="390">
        <f>ETPRECAP[[#This Row],[Heures ETP Encadrement]]/RTT!$E$7</f>
        <v>0</v>
      </c>
      <c r="L131" s="392"/>
    </row>
  </sheetData>
  <mergeCells count="4">
    <mergeCell ref="D14:G14"/>
    <mergeCell ref="A97:A112"/>
    <mergeCell ref="A113:A127"/>
    <mergeCell ref="A128:A131"/>
  </mergeCells>
  <pageMargins left="0.7" right="0.7" top="0.75" bottom="0.75" header="0.3" footer="0.3"/>
  <pageSetup paperSize="9"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V229"/>
  <sheetViews>
    <sheetView topLeftCell="A37" zoomScale="85" zoomScaleNormal="85" workbookViewId="0">
      <selection activeCell="B44" sqref="B44"/>
    </sheetView>
  </sheetViews>
  <sheetFormatPr defaultColWidth="9.140625" defaultRowHeight="15" x14ac:dyDescent="0.25"/>
  <cols>
    <col min="1" max="1" width="9.140625" style="25"/>
    <col min="2" max="2" width="66.5703125" style="25" bestFit="1" customWidth="1"/>
    <col min="3" max="3" width="47.5703125" style="25" bestFit="1" customWidth="1"/>
    <col min="4" max="4" width="83" style="25" bestFit="1" customWidth="1"/>
    <col min="5" max="5" width="57.5703125" style="25" customWidth="1"/>
    <col min="6" max="6" width="90.140625" style="25" bestFit="1" customWidth="1"/>
    <col min="7" max="7" width="54.5703125" style="25" bestFit="1" customWidth="1"/>
    <col min="8" max="8" width="90.140625" style="25" bestFit="1" customWidth="1"/>
    <col min="9" max="9" width="9.140625" style="25"/>
    <col min="10" max="10" width="33.5703125" style="25" bestFit="1" customWidth="1"/>
    <col min="11" max="11" width="20.85546875" style="25" bestFit="1" customWidth="1"/>
    <col min="12" max="14" width="9.140625" style="25"/>
    <col min="15" max="15" width="4.28515625" style="25" bestFit="1" customWidth="1"/>
    <col min="16" max="16" width="38.85546875" style="25" bestFit="1" customWidth="1"/>
    <col min="17" max="17" width="46.42578125" style="25" bestFit="1" customWidth="1"/>
    <col min="18" max="18" width="43.7109375" style="25" bestFit="1" customWidth="1"/>
    <col min="19" max="19" width="52.140625" style="25" bestFit="1" customWidth="1"/>
    <col min="20" max="20" width="77.85546875" style="25" bestFit="1" customWidth="1"/>
    <col min="21" max="21" width="73.42578125" style="25" bestFit="1" customWidth="1"/>
    <col min="22" max="22" width="69.85546875" style="25" bestFit="1" customWidth="1"/>
    <col min="23" max="16384" width="9.140625" style="25"/>
  </cols>
  <sheetData>
    <row r="1" spans="2:22" x14ac:dyDescent="0.25">
      <c r="B1" s="11" t="str">
        <f>'Informations générales 1'!B7</f>
        <v>DECOMPTE ANNUEL</v>
      </c>
    </row>
    <row r="2" spans="2:22" x14ac:dyDescent="0.25">
      <c r="B2" s="11" t="str">
        <f>'Informations générales 1'!C20&amp;" - "&amp;'Informations générales 1'!C24</f>
        <v>Nom Gestionnaire - Nom SEA</v>
      </c>
      <c r="N2" s="121"/>
    </row>
    <row r="3" spans="2:22" x14ac:dyDescent="0.25">
      <c r="B3" s="20">
        <f>'Informations générales 1'!C10</f>
        <v>2020</v>
      </c>
    </row>
    <row r="4" spans="2:22" ht="15.75" thickBot="1" x14ac:dyDescent="0.3"/>
    <row r="5" spans="2:22" ht="16.5" thickBot="1" x14ac:dyDescent="0.3">
      <c r="B5" s="26" t="s">
        <v>432</v>
      </c>
      <c r="P5" s="186" t="str">
        <f>IF(G61+C80=SUM(Q7:V7),"Tous les frais sont inclus",(G61+C80)-SUM(Q7:V7)&amp;" € n'ont pas l'allocation")</f>
        <v>Tous les frais sont inclus</v>
      </c>
    </row>
    <row r="7" spans="2:22" x14ac:dyDescent="0.25">
      <c r="B7" s="103" t="s">
        <v>433</v>
      </c>
      <c r="C7" s="104"/>
      <c r="D7" s="104"/>
      <c r="E7" s="104"/>
      <c r="F7" s="104"/>
      <c r="G7" s="104"/>
      <c r="H7" s="104"/>
      <c r="I7" s="104"/>
      <c r="J7" s="104"/>
      <c r="K7" s="105"/>
      <c r="O7"/>
      <c r="P7" s="69" t="s">
        <v>337</v>
      </c>
      <c r="Q7" s="70">
        <f>SUM(Overhead6[Frais directement liés à l''activité - Encadrement])</f>
        <v>0</v>
      </c>
      <c r="R7" s="70">
        <f>SUM(Overhead6[Frais directement liés à l''activité - Logistique])</f>
        <v>0</v>
      </c>
      <c r="S7" s="70">
        <f>SUM(Overhead6[Frais indirectement liés à l''activité - Prévues par la loi ])</f>
        <v>0</v>
      </c>
      <c r="T7" s="70">
        <f>SUM(Overhead6[Frais indirectement liés à l''activité - Autres fonctions - Administration / Logistique])</f>
        <v>0</v>
      </c>
      <c r="U7" s="70">
        <f>SUM(Overhead6[Frais indirectement liés à l''activité - Autres fonctions - Chargé(e) de direction])</f>
        <v>0</v>
      </c>
      <c r="V7" s="70">
        <f>SUM(Overhead6[Frais indirectement liés à l''activité - Autres fonctions - Direction générale])</f>
        <v>0</v>
      </c>
    </row>
    <row r="8" spans="2:22" x14ac:dyDescent="0.25">
      <c r="B8" s="98" t="s">
        <v>81</v>
      </c>
      <c r="C8" s="99"/>
      <c r="D8" s="99"/>
      <c r="E8" s="106" t="str">
        <f>'Informations générales 1'!C16</f>
        <v>Administration communale de</v>
      </c>
      <c r="F8" s="99"/>
      <c r="G8" s="133" t="s">
        <v>23</v>
      </c>
      <c r="H8" s="114" t="str">
        <f>'Informations générales 1'!C21</f>
        <v>[adresse]</v>
      </c>
      <c r="I8" s="96"/>
      <c r="J8" s="96"/>
      <c r="K8" s="97"/>
      <c r="O8"/>
      <c r="P8" s="69" t="s">
        <v>418</v>
      </c>
      <c r="Q8" s="77">
        <f>Overhead6[[#Totals],[Frais directement liés à l''activité - Encadrement]]</f>
        <v>0</v>
      </c>
      <c r="R8" s="77">
        <f>Overhead6[[#Totals],[Frais directement liés à l''activité - Logistique]]</f>
        <v>0</v>
      </c>
      <c r="S8" s="77">
        <f>Overhead6[[#Totals],[Frais indirectement liés à l''activité - Prévues par la loi ]]</f>
        <v>0</v>
      </c>
      <c r="T8" s="77">
        <f>Overhead6[[#Totals],[Frais indirectement liés à l''activité - Autres fonctions - Administration / Logistique]]</f>
        <v>0</v>
      </c>
      <c r="U8" s="77">
        <f>Overhead6[[#Totals],[Frais indirectement liés à l''activité - Autres fonctions - Chargé(e) de direction]]</f>
        <v>0</v>
      </c>
      <c r="V8" s="77">
        <f>Overhead6[[#Totals],[Frais indirectement liés à l''activité - Autres fonctions - Direction générale]]</f>
        <v>0</v>
      </c>
    </row>
    <row r="9" spans="2:22" ht="15.75" thickBot="1" x14ac:dyDescent="0.3">
      <c r="B9" s="98" t="s">
        <v>146</v>
      </c>
      <c r="C9" s="99"/>
      <c r="D9" s="99"/>
      <c r="E9" s="120"/>
      <c r="F9" s="99"/>
      <c r="G9" s="134" t="s">
        <v>24</v>
      </c>
      <c r="H9" s="106" t="str">
        <f>'Informations générales 1'!C22</f>
        <v>[code postal]</v>
      </c>
      <c r="I9" s="99"/>
      <c r="J9" s="99"/>
      <c r="K9" s="100"/>
      <c r="O9"/>
      <c r="P9" s="24" t="s">
        <v>262</v>
      </c>
      <c r="Q9" s="59" t="s">
        <v>375</v>
      </c>
      <c r="R9" s="52" t="s">
        <v>376</v>
      </c>
      <c r="S9" s="52" t="s">
        <v>380</v>
      </c>
      <c r="T9" s="52" t="s">
        <v>377</v>
      </c>
      <c r="U9" s="52" t="s">
        <v>378</v>
      </c>
      <c r="V9" s="57" t="s">
        <v>379</v>
      </c>
    </row>
    <row r="10" spans="2:22" ht="15" customHeight="1" x14ac:dyDescent="0.25">
      <c r="B10" s="98" t="s">
        <v>35</v>
      </c>
      <c r="C10" s="99"/>
      <c r="D10" s="99"/>
      <c r="E10" s="118" t="str">
        <f>'Informations générales 1'!C20</f>
        <v>Nom Gestionnaire</v>
      </c>
      <c r="F10" s="99"/>
      <c r="G10" s="115" t="s">
        <v>443</v>
      </c>
      <c r="H10" s="114">
        <f>'Informations générales 1'!C28</f>
        <v>0</v>
      </c>
      <c r="I10" s="95"/>
      <c r="J10" s="127" t="s">
        <v>448</v>
      </c>
      <c r="K10" s="116">
        <f>'Informations générales 1'!C46</f>
        <v>0</v>
      </c>
      <c r="O10" s="573" t="s">
        <v>381</v>
      </c>
      <c r="P10" s="60" t="s">
        <v>99</v>
      </c>
      <c r="Q10" s="61">
        <f>SUMIFS(Fonctionnement[Montant],Fonctionnement[Allocation],Overhead6[[#This Row],[Fonction]],Fonctionnement[Frais généraux],Overhead6[[#Headers],[Frais directement liés à l''activité - Encadrement]])</f>
        <v>0</v>
      </c>
      <c r="R10" s="61">
        <f>SUMIFS(Fonctionnement[Montant],Fonctionnement[Allocation],Overhead6[[#This Row],[Fonction]],Fonctionnement[Frais généraux],Overhead6[[#Headers],[Frais directement liés à l''activité - Logistique]])</f>
        <v>0</v>
      </c>
      <c r="S10" s="61">
        <f>SUMIFS(Fonctionnement[Montant],Fonctionnement[Allocation],Overhead6[[#This Row],[Fonction]],Fonctionnement[Frais généraux],Overhead6[[#Headers],[Frais indirectement liés à l''activité - Prévues par la loi ]])</f>
        <v>0</v>
      </c>
      <c r="T10" s="61">
        <f>SUMIFS(Fonctionnement[Montant],Fonctionnement[Allocation],Overhead6[[#This Row],[Fonction]],Fonctionnement[Frais généraux],Overhead6[[#Headers],[Frais indirectement liés à l''activité - Autres fonctions - Administration / Logistique]])</f>
        <v>0</v>
      </c>
      <c r="U10" s="61">
        <f>SUMIFS(Fonctionnement[Montant],Fonctionnement[Allocation],Overhead6[[#This Row],[Fonction]],Fonctionnement[Frais généraux],Overhead6[[#Headers],[Frais indirectement liés à l''activité - Autres fonctions - Chargé(e) de direction]])</f>
        <v>0</v>
      </c>
      <c r="V10" s="62">
        <f>SUMIFS(Fonctionnement[Montant],Fonctionnement[Allocation],Overhead6[[#This Row],[Fonction]],Fonctionnement[Frais généraux],Overhead6[[#Headers],[Frais indirectement liés à l''activité - Autres fonctions - Direction générale]])</f>
        <v>0</v>
      </c>
    </row>
    <row r="11" spans="2:22" x14ac:dyDescent="0.25">
      <c r="B11" s="98" t="s">
        <v>434</v>
      </c>
      <c r="C11" s="99"/>
      <c r="D11" s="99"/>
      <c r="E11" s="118" t="str">
        <f>'Informations générales 1'!C24</f>
        <v>Nom SEA</v>
      </c>
      <c r="F11" s="99"/>
      <c r="G11" s="98" t="s">
        <v>444</v>
      </c>
      <c r="H11" s="106">
        <f>'Informations générales 1'!C30</f>
        <v>0</v>
      </c>
      <c r="I11" s="98"/>
      <c r="J11" s="99" t="s">
        <v>444</v>
      </c>
      <c r="K11" s="107">
        <f>'Informations générales 1'!C48</f>
        <v>0</v>
      </c>
      <c r="O11" s="574"/>
      <c r="P11" s="58" t="s">
        <v>100</v>
      </c>
      <c r="Q11" s="53">
        <f>SUMIFS(Fonctionnement[Montant],Fonctionnement[Allocation],Overhead6[[#This Row],[Fonction]],Fonctionnement[Frais généraux],Overhead6[[#Headers],[Frais directement liés à l''activité - Encadrement]])</f>
        <v>0</v>
      </c>
      <c r="R11" s="53">
        <f>SUMIFS(Fonctionnement[Montant],Fonctionnement[Allocation],Overhead6[[#This Row],[Fonction]],Fonctionnement[Frais généraux],Overhead6[[#Headers],[Frais directement liés à l''activité - Logistique]])</f>
        <v>0</v>
      </c>
      <c r="S11" s="53">
        <f>SUMIFS(Fonctionnement[Montant],Fonctionnement[Allocation],Overhead6[[#This Row],[Fonction]],Fonctionnement[Frais généraux],Overhead6[[#Headers],[Frais indirectement liés à l''activité - Prévues par la loi ]])</f>
        <v>0</v>
      </c>
      <c r="T11" s="53">
        <f>SUMIFS(Fonctionnement[Montant],Fonctionnement[Allocation],Overhead6[[#This Row],[Fonction]],Fonctionnement[Frais généraux],Overhead6[[#Headers],[Frais indirectement liés à l''activité - Autres fonctions - Administration / Logistique]])</f>
        <v>0</v>
      </c>
      <c r="U11" s="53">
        <f>SUMIFS(Fonctionnement[Montant],Fonctionnement[Allocation],Overhead6[[#This Row],[Fonction]],Fonctionnement[Frais généraux],Overhead6[[#Headers],[Frais indirectement liés à l''activité - Autres fonctions - Chargé(e) de direction]])</f>
        <v>0</v>
      </c>
      <c r="V11" s="54">
        <f>SUMIFS(Fonctionnement[Montant],Fonctionnement[Allocation],Overhead6[[#This Row],[Fonction]],Fonctionnement[Frais généraux],Overhead6[[#Headers],[Frais indirectement liés à l''activité - Autres fonctions - Direction générale]])</f>
        <v>0</v>
      </c>
    </row>
    <row r="12" spans="2:22" x14ac:dyDescent="0.25">
      <c r="B12" s="98" t="s">
        <v>496</v>
      </c>
      <c r="C12" s="99"/>
      <c r="D12" s="99"/>
      <c r="E12" s="118" t="str">
        <f>'Informations générales 1'!C12</f>
        <v>Tripartite</v>
      </c>
      <c r="F12" s="99"/>
      <c r="G12" s="98"/>
      <c r="H12" s="106"/>
      <c r="I12" s="98"/>
      <c r="J12" s="99"/>
      <c r="K12" s="107"/>
      <c r="O12" s="574"/>
      <c r="P12" s="58" t="s">
        <v>101</v>
      </c>
      <c r="Q12" s="53">
        <f>SUMIFS(Fonctionnement[Montant],Fonctionnement[Allocation],Overhead6[[#This Row],[Fonction]],Fonctionnement[Frais généraux],Overhead6[[#Headers],[Frais directement liés à l''activité - Encadrement]])</f>
        <v>0</v>
      </c>
      <c r="R12" s="53">
        <f>SUMIFS(Fonctionnement[Montant],Fonctionnement[Allocation],Overhead6[[#This Row],[Fonction]],Fonctionnement[Frais généraux],Overhead6[[#Headers],[Frais directement liés à l''activité - Logistique]])</f>
        <v>0</v>
      </c>
      <c r="S12" s="53">
        <f>SUMIFS(Fonctionnement[Montant],Fonctionnement[Allocation],Overhead6[[#This Row],[Fonction]],Fonctionnement[Frais généraux],Overhead6[[#Headers],[Frais indirectement liés à l''activité - Prévues par la loi ]])</f>
        <v>0</v>
      </c>
      <c r="T12" s="53">
        <f>SUMIFS(Fonctionnement[Montant],Fonctionnement[Allocation],Overhead6[[#This Row],[Fonction]],Fonctionnement[Frais généraux],Overhead6[[#Headers],[Frais indirectement liés à l''activité - Autres fonctions - Administration / Logistique]])</f>
        <v>0</v>
      </c>
      <c r="U12" s="53">
        <f>SUMIFS(Fonctionnement[Montant],Fonctionnement[Allocation],Overhead6[[#This Row],[Fonction]],Fonctionnement[Frais généraux],Overhead6[[#Headers],[Frais indirectement liés à l''activité - Autres fonctions - Chargé(e) de direction]])</f>
        <v>0</v>
      </c>
      <c r="V12" s="54">
        <f>SUMIFS(Fonctionnement[Montant],Fonctionnement[Allocation],Overhead6[[#This Row],[Fonction]],Fonctionnement[Frais généraux],Overhead6[[#Headers],[Frais indirectement liés à l''activité - Autres fonctions - Direction générale]])</f>
        <v>0</v>
      </c>
    </row>
    <row r="13" spans="2:22" x14ac:dyDescent="0.25">
      <c r="B13" s="98" t="s">
        <v>435</v>
      </c>
      <c r="C13" s="99"/>
      <c r="D13" s="99"/>
      <c r="E13" s="119">
        <f>'Informations générales 1'!C14</f>
        <v>0.75</v>
      </c>
      <c r="F13" s="99"/>
      <c r="G13" s="98" t="s">
        <v>445</v>
      </c>
      <c r="H13" s="106">
        <f>'Informations générales 1'!C32</f>
        <v>0</v>
      </c>
      <c r="I13" s="98"/>
      <c r="J13" s="99" t="s">
        <v>445</v>
      </c>
      <c r="K13" s="107">
        <f>'Informations générales 1'!C50</f>
        <v>0</v>
      </c>
      <c r="O13" s="574"/>
      <c r="P13" s="58" t="s">
        <v>102</v>
      </c>
      <c r="Q13" s="53">
        <f>SUMIFS(Fonctionnement[Montant],Fonctionnement[Allocation],Overhead6[[#This Row],[Fonction]],Fonctionnement[Frais généraux],Overhead6[[#Headers],[Frais directement liés à l''activité - Encadrement]])</f>
        <v>0</v>
      </c>
      <c r="R13" s="53">
        <f>SUMIFS(Fonctionnement[Montant],Fonctionnement[Allocation],Overhead6[[#This Row],[Fonction]],Fonctionnement[Frais généraux],Overhead6[[#Headers],[Frais directement liés à l''activité - Logistique]])</f>
        <v>0</v>
      </c>
      <c r="S13" s="53">
        <f>SUMIFS(Fonctionnement[Montant],Fonctionnement[Allocation],Overhead6[[#This Row],[Fonction]],Fonctionnement[Frais généraux],Overhead6[[#Headers],[Frais indirectement liés à l''activité - Prévues par la loi ]])</f>
        <v>0</v>
      </c>
      <c r="T13" s="53">
        <f>SUMIFS(Fonctionnement[Montant],Fonctionnement[Allocation],Overhead6[[#This Row],[Fonction]],Fonctionnement[Frais généraux],Overhead6[[#Headers],[Frais indirectement liés à l''activité - Autres fonctions - Administration / Logistique]])</f>
        <v>0</v>
      </c>
      <c r="U13" s="53">
        <f>SUMIFS(Fonctionnement[Montant],Fonctionnement[Allocation],Overhead6[[#This Row],[Fonction]],Fonctionnement[Frais généraux],Overhead6[[#Headers],[Frais indirectement liés à l''activité - Autres fonctions - Chargé(e) de direction]])</f>
        <v>0</v>
      </c>
      <c r="V13" s="54">
        <f>SUMIFS(Fonctionnement[Montant],Fonctionnement[Allocation],Overhead6[[#This Row],[Fonction]],Fonctionnement[Frais généraux],Overhead6[[#Headers],[Frais indirectement liés à l''activité - Autres fonctions - Direction générale]])</f>
        <v>0</v>
      </c>
    </row>
    <row r="14" spans="2:22" x14ac:dyDescent="0.25">
      <c r="B14" s="98" t="s">
        <v>78</v>
      </c>
      <c r="C14" s="99"/>
      <c r="D14" s="99"/>
      <c r="E14" s="118">
        <f>'Information générales 3'!C7</f>
        <v>0</v>
      </c>
      <c r="F14" s="99"/>
      <c r="G14" s="98" t="s">
        <v>446</v>
      </c>
      <c r="H14" s="106">
        <f>'Informations générales 1'!C34</f>
        <v>0</v>
      </c>
      <c r="I14" s="98"/>
      <c r="J14" s="99" t="s">
        <v>446</v>
      </c>
      <c r="K14" s="107">
        <f>'Informations générales 1'!C52</f>
        <v>0</v>
      </c>
      <c r="O14" s="574"/>
      <c r="P14" s="58" t="s">
        <v>103</v>
      </c>
      <c r="Q14" s="53">
        <f>SUMIFS(Fonctionnement[Montant],Fonctionnement[Allocation],Overhead6[[#This Row],[Fonction]],Fonctionnement[Frais généraux],Overhead6[[#Headers],[Frais directement liés à l''activité - Encadrement]])</f>
        <v>0</v>
      </c>
      <c r="R14" s="53">
        <f>SUMIFS(Fonctionnement[Montant],Fonctionnement[Allocation],Overhead6[[#This Row],[Fonction]],Fonctionnement[Frais généraux],Overhead6[[#Headers],[Frais directement liés à l''activité - Logistique]])</f>
        <v>0</v>
      </c>
      <c r="S14" s="53">
        <f>SUMIFS(Fonctionnement[Montant],Fonctionnement[Allocation],Overhead6[[#This Row],[Fonction]],Fonctionnement[Frais généraux],Overhead6[[#Headers],[Frais indirectement liés à l''activité - Prévues par la loi ]])</f>
        <v>0</v>
      </c>
      <c r="T14" s="53">
        <f>SUMIFS(Fonctionnement[Montant],Fonctionnement[Allocation],Overhead6[[#This Row],[Fonction]],Fonctionnement[Frais généraux],Overhead6[[#Headers],[Frais indirectement liés à l''activité - Autres fonctions - Administration / Logistique]])</f>
        <v>0</v>
      </c>
      <c r="U14" s="53">
        <f>SUMIFS(Fonctionnement[Montant],Fonctionnement[Allocation],Overhead6[[#This Row],[Fonction]],Fonctionnement[Frais généraux],Overhead6[[#Headers],[Frais indirectement liés à l''activité - Autres fonctions - Chargé(e) de direction]])</f>
        <v>0</v>
      </c>
      <c r="V14" s="54">
        <f>SUMIFS(Fonctionnement[Montant],Fonctionnement[Allocation],Overhead6[[#This Row],[Fonction]],Fonctionnement[Frais généraux],Overhead6[[#Headers],[Frais indirectement liés à l''activité - Autres fonctions - Direction générale]])</f>
        <v>0</v>
      </c>
    </row>
    <row r="15" spans="2:22" x14ac:dyDescent="0.25">
      <c r="B15" s="98" t="s">
        <v>441</v>
      </c>
      <c r="C15" s="99"/>
      <c r="D15" s="99"/>
      <c r="E15" s="118" t="str">
        <f>IF(E14="ASBL","ASBL",IF(E14="Commune","COMMUNE","Grand prestataire"))</f>
        <v>Grand prestataire</v>
      </c>
      <c r="F15" s="99"/>
      <c r="G15" s="117" t="s">
        <v>447</v>
      </c>
      <c r="H15" s="106">
        <f>'Informations générales 1'!C36</f>
        <v>0</v>
      </c>
      <c r="I15" s="98"/>
      <c r="J15" s="108" t="s">
        <v>449</v>
      </c>
      <c r="K15" s="107">
        <f>'Informations générales 1'!C54</f>
        <v>0</v>
      </c>
      <c r="O15" s="574"/>
      <c r="P15" s="58" t="s">
        <v>117</v>
      </c>
      <c r="Q15" s="53">
        <f>SUMIFS(Fonctionnement[Montant],Fonctionnement[Allocation],Overhead6[[#This Row],[Fonction]],Fonctionnement[Frais généraux],Overhead6[[#Headers],[Frais directement liés à l''activité - Encadrement]])</f>
        <v>0</v>
      </c>
      <c r="R15" s="53">
        <f>SUMIFS(Fonctionnement[Montant],Fonctionnement[Allocation],Overhead6[[#This Row],[Fonction]],Fonctionnement[Frais généraux],Overhead6[[#Headers],[Frais directement liés à l''activité - Logistique]])</f>
        <v>0</v>
      </c>
      <c r="S15" s="53">
        <f>SUMIFS(Fonctionnement[Montant],Fonctionnement[Allocation],Overhead6[[#This Row],[Fonction]],Fonctionnement[Frais généraux],Overhead6[[#Headers],[Frais indirectement liés à l''activité - Prévues par la loi ]])</f>
        <v>0</v>
      </c>
      <c r="T15" s="53">
        <f>SUMIFS(Fonctionnement[Montant],Fonctionnement[Allocation],Overhead6[[#This Row],[Fonction]],Fonctionnement[Frais généraux],Overhead6[[#Headers],[Frais indirectement liés à l''activité - Autres fonctions - Administration / Logistique]])</f>
        <v>0</v>
      </c>
      <c r="U15" s="53">
        <f>SUMIFS(Fonctionnement[Montant],Fonctionnement[Allocation],Overhead6[[#This Row],[Fonction]],Fonctionnement[Frais généraux],Overhead6[[#Headers],[Frais indirectement liés à l''activité - Autres fonctions - Chargé(e) de direction]])</f>
        <v>0</v>
      </c>
      <c r="V15" s="54">
        <f>SUMIFS(Fonctionnement[Montant],Fonctionnement[Allocation],Overhead6[[#This Row],[Fonction]],Fonctionnement[Frais généraux],Overhead6[[#Headers],[Frais indirectement liés à l''activité - Autres fonctions - Direction générale]])</f>
        <v>0</v>
      </c>
    </row>
    <row r="16" spans="2:22" x14ac:dyDescent="0.25">
      <c r="B16" s="400" t="s">
        <v>576</v>
      </c>
      <c r="C16" s="401" t="s">
        <v>579</v>
      </c>
      <c r="D16" s="401"/>
      <c r="E16" s="402" t="s">
        <v>576</v>
      </c>
      <c r="F16" s="403" t="s">
        <v>580</v>
      </c>
      <c r="G16" s="98" t="s">
        <v>444</v>
      </c>
      <c r="H16" s="106">
        <f>'Informations générales 1'!C38</f>
        <v>0</v>
      </c>
      <c r="I16" s="98"/>
      <c r="J16" s="99" t="s">
        <v>444</v>
      </c>
      <c r="K16" s="107">
        <f>'Informations générales 1'!C56</f>
        <v>0</v>
      </c>
      <c r="O16" s="574"/>
      <c r="P16" s="58" t="s">
        <v>104</v>
      </c>
      <c r="Q16" s="53">
        <f>SUMIFS(Fonctionnement[Montant],Fonctionnement[Allocation],Overhead6[[#This Row],[Fonction]],Fonctionnement[Frais généraux],Overhead6[[#Headers],[Frais directement liés à l''activité - Encadrement]])</f>
        <v>0</v>
      </c>
      <c r="R16" s="53">
        <f>SUMIFS(Fonctionnement[Montant],Fonctionnement[Allocation],Overhead6[[#This Row],[Fonction]],Fonctionnement[Frais généraux],Overhead6[[#Headers],[Frais directement liés à l''activité - Logistique]])</f>
        <v>0</v>
      </c>
      <c r="S16" s="53">
        <f>SUMIFS(Fonctionnement[Montant],Fonctionnement[Allocation],Overhead6[[#This Row],[Fonction]],Fonctionnement[Frais généraux],Overhead6[[#Headers],[Frais indirectement liés à l''activité - Prévues par la loi ]])</f>
        <v>0</v>
      </c>
      <c r="T16" s="53">
        <f>SUMIFS(Fonctionnement[Montant],Fonctionnement[Allocation],Overhead6[[#This Row],[Fonction]],Fonctionnement[Frais généraux],Overhead6[[#Headers],[Frais indirectement liés à l''activité - Autres fonctions - Administration / Logistique]])</f>
        <v>0</v>
      </c>
      <c r="U16" s="53">
        <f>SUMIFS(Fonctionnement[Montant],Fonctionnement[Allocation],Overhead6[[#This Row],[Fonction]],Fonctionnement[Frais généraux],Overhead6[[#Headers],[Frais indirectement liés à l''activité - Autres fonctions - Chargé(e) de direction]])</f>
        <v>0</v>
      </c>
      <c r="V16" s="54">
        <f>SUMIFS(Fonctionnement[Montant],Fonctionnement[Allocation],Overhead6[[#This Row],[Fonction]],Fonctionnement[Frais généraux],Overhead6[[#Headers],[Frais indirectement liés à l''activité - Autres fonctions - Direction générale]])</f>
        <v>0</v>
      </c>
    </row>
    <row r="17" spans="2:22" x14ac:dyDescent="0.25">
      <c r="B17" s="98" t="s">
        <v>577</v>
      </c>
      <c r="C17" s="161">
        <f>F69</f>
        <v>0</v>
      </c>
      <c r="D17" s="99"/>
      <c r="E17" s="395"/>
      <c r="F17" s="397">
        <f>C17-E17</f>
        <v>0</v>
      </c>
      <c r="G17" s="98" t="s">
        <v>445</v>
      </c>
      <c r="H17" s="106">
        <f>'Informations générales 1'!C40</f>
        <v>0</v>
      </c>
      <c r="I17" s="98"/>
      <c r="J17" s="99" t="s">
        <v>445</v>
      </c>
      <c r="K17" s="107">
        <f>'Informations générales 1'!C58</f>
        <v>0</v>
      </c>
      <c r="O17" s="574"/>
      <c r="P17" s="58" t="s">
        <v>105</v>
      </c>
      <c r="Q17" s="53">
        <f>SUMIFS(Fonctionnement[Montant],Fonctionnement[Allocation],Overhead6[[#This Row],[Fonction]],Fonctionnement[Frais généraux],Overhead6[[#Headers],[Frais directement liés à l''activité - Encadrement]])</f>
        <v>0</v>
      </c>
      <c r="R17" s="53">
        <f>SUMIFS(Fonctionnement[Montant],Fonctionnement[Allocation],Overhead6[[#This Row],[Fonction]],Fonctionnement[Frais généraux],Overhead6[[#Headers],[Frais directement liés à l''activité - Logistique]])</f>
        <v>0</v>
      </c>
      <c r="S17" s="53">
        <f>SUMIFS(Fonctionnement[Montant],Fonctionnement[Allocation],Overhead6[[#This Row],[Fonction]],Fonctionnement[Frais généraux],Overhead6[[#Headers],[Frais indirectement liés à l''activité - Prévues par la loi ]])</f>
        <v>0</v>
      </c>
      <c r="T17" s="53">
        <f>SUMIFS(Fonctionnement[Montant],Fonctionnement[Allocation],Overhead6[[#This Row],[Fonction]],Fonctionnement[Frais généraux],Overhead6[[#Headers],[Frais indirectement liés à l''activité - Autres fonctions - Administration / Logistique]])</f>
        <v>0</v>
      </c>
      <c r="U17" s="53">
        <f>SUMIFS(Fonctionnement[Montant],Fonctionnement[Allocation],Overhead6[[#This Row],[Fonction]],Fonctionnement[Frais généraux],Overhead6[[#Headers],[Frais indirectement liés à l''activité - Autres fonctions - Chargé(e) de direction]])</f>
        <v>0</v>
      </c>
      <c r="V17" s="54">
        <f>SUMIFS(Fonctionnement[Montant],Fonctionnement[Allocation],Overhead6[[#This Row],[Fonction]],Fonctionnement[Frais généraux],Overhead6[[#Headers],[Frais indirectement liés à l''activité - Autres fonctions - Direction générale]])</f>
        <v>0</v>
      </c>
    </row>
    <row r="18" spans="2:22" x14ac:dyDescent="0.25">
      <c r="B18" s="98" t="s">
        <v>578</v>
      </c>
      <c r="C18" s="161">
        <f>C69</f>
        <v>0</v>
      </c>
      <c r="D18" s="99"/>
      <c r="E18" s="395"/>
      <c r="F18" s="397">
        <f t="shared" ref="F18:F20" si="0">C18-E18</f>
        <v>0</v>
      </c>
      <c r="G18" s="98" t="s">
        <v>446</v>
      </c>
      <c r="H18" s="106">
        <f>'Informations générales 1'!C42</f>
        <v>0</v>
      </c>
      <c r="I18" s="98"/>
      <c r="J18" s="99" t="s">
        <v>446</v>
      </c>
      <c r="K18" s="107">
        <f>'Informations générales 1'!C60</f>
        <v>0</v>
      </c>
      <c r="O18" s="574"/>
      <c r="P18" s="58" t="s">
        <v>106</v>
      </c>
      <c r="Q18" s="53">
        <f>SUMIFS(Fonctionnement[Montant],Fonctionnement[Allocation],Overhead6[[#This Row],[Fonction]],Fonctionnement[Frais généraux],Overhead6[[#Headers],[Frais directement liés à l''activité - Encadrement]])</f>
        <v>0</v>
      </c>
      <c r="R18" s="53">
        <f>SUMIFS(Fonctionnement[Montant],Fonctionnement[Allocation],Overhead6[[#This Row],[Fonction]],Fonctionnement[Frais généraux],Overhead6[[#Headers],[Frais directement liés à l''activité - Logistique]])</f>
        <v>0</v>
      </c>
      <c r="S18" s="53">
        <f>SUMIFS(Fonctionnement[Montant],Fonctionnement[Allocation],Overhead6[[#This Row],[Fonction]],Fonctionnement[Frais généraux],Overhead6[[#Headers],[Frais indirectement liés à l''activité - Prévues par la loi ]])</f>
        <v>0</v>
      </c>
      <c r="T18" s="53">
        <f>SUMIFS(Fonctionnement[Montant],Fonctionnement[Allocation],Overhead6[[#This Row],[Fonction]],Fonctionnement[Frais généraux],Overhead6[[#Headers],[Frais indirectement liés à l''activité - Autres fonctions - Administration / Logistique]])</f>
        <v>0</v>
      </c>
      <c r="U18" s="53">
        <f>SUMIFS(Fonctionnement[Montant],Fonctionnement[Allocation],Overhead6[[#This Row],[Fonction]],Fonctionnement[Frais généraux],Overhead6[[#Headers],[Frais indirectement liés à l''activité - Autres fonctions - Chargé(e) de direction]])</f>
        <v>0</v>
      </c>
      <c r="V18" s="54">
        <f>SUMIFS(Fonctionnement[Montant],Fonctionnement[Allocation],Overhead6[[#This Row],[Fonction]],Fonctionnement[Frais généraux],Overhead6[[#Headers],[Frais indirectement liés à l''activité - Autres fonctions - Direction générale]])</f>
        <v>0</v>
      </c>
    </row>
    <row r="19" spans="2:22" x14ac:dyDescent="0.25">
      <c r="B19" s="98" t="s">
        <v>581</v>
      </c>
      <c r="C19" s="397">
        <f>H69</f>
        <v>0</v>
      </c>
      <c r="D19" s="99"/>
      <c r="E19" s="395"/>
      <c r="F19" s="397">
        <f t="shared" si="0"/>
        <v>0</v>
      </c>
      <c r="G19" s="98"/>
      <c r="H19" s="99"/>
      <c r="I19" s="98"/>
      <c r="J19" s="99"/>
      <c r="K19" s="100"/>
      <c r="O19" s="574"/>
      <c r="P19" s="58" t="s">
        <v>107</v>
      </c>
      <c r="Q19" s="53">
        <f>SUMIFS(Fonctionnement[Montant],Fonctionnement[Allocation],Overhead6[[#This Row],[Fonction]],Fonctionnement[Frais généraux],Overhead6[[#Headers],[Frais directement liés à l''activité - Encadrement]])</f>
        <v>0</v>
      </c>
      <c r="R19" s="53">
        <f>SUMIFS(Fonctionnement[Montant],Fonctionnement[Allocation],Overhead6[[#This Row],[Fonction]],Fonctionnement[Frais généraux],Overhead6[[#Headers],[Frais directement liés à l''activité - Logistique]])</f>
        <v>0</v>
      </c>
      <c r="S19" s="53">
        <f>SUMIFS(Fonctionnement[Montant],Fonctionnement[Allocation],Overhead6[[#This Row],[Fonction]],Fonctionnement[Frais généraux],Overhead6[[#Headers],[Frais indirectement liés à l''activité - Prévues par la loi ]])</f>
        <v>0</v>
      </c>
      <c r="T19" s="53">
        <f>SUMIFS(Fonctionnement[Montant],Fonctionnement[Allocation],Overhead6[[#This Row],[Fonction]],Fonctionnement[Frais généraux],Overhead6[[#Headers],[Frais indirectement liés à l''activité - Autres fonctions - Administration / Logistique]])</f>
        <v>0</v>
      </c>
      <c r="U19" s="53">
        <f>SUMIFS(Fonctionnement[Montant],Fonctionnement[Allocation],Overhead6[[#This Row],[Fonction]],Fonctionnement[Frais généraux],Overhead6[[#Headers],[Frais indirectement liés à l''activité - Autres fonctions - Chargé(e) de direction]])</f>
        <v>0</v>
      </c>
      <c r="V19" s="54">
        <f>SUMIFS(Fonctionnement[Montant],Fonctionnement[Allocation],Overhead6[[#This Row],[Fonction]],Fonctionnement[Frais généraux],Overhead6[[#Headers],[Frais indirectement liés à l''activité - Autres fonctions - Direction générale]])</f>
        <v>0</v>
      </c>
    </row>
    <row r="20" spans="2:22" x14ac:dyDescent="0.25">
      <c r="B20" s="98" t="s">
        <v>582</v>
      </c>
      <c r="C20" s="161">
        <f>K69</f>
        <v>0</v>
      </c>
      <c r="D20" s="99"/>
      <c r="E20" s="395"/>
      <c r="F20" s="397">
        <f t="shared" si="0"/>
        <v>0</v>
      </c>
      <c r="G20" s="98"/>
      <c r="H20" s="99"/>
      <c r="I20" s="98"/>
      <c r="J20" s="99"/>
      <c r="K20" s="100"/>
      <c r="O20" s="574"/>
      <c r="P20" s="58" t="s">
        <v>108</v>
      </c>
      <c r="Q20" s="53">
        <f>SUMIFS(Fonctionnement[Montant],Fonctionnement[Allocation],Overhead6[[#This Row],[Fonction]],Fonctionnement[Frais généraux],Overhead6[[#Headers],[Frais directement liés à l''activité - Encadrement]])</f>
        <v>0</v>
      </c>
      <c r="R20" s="53">
        <f>SUMIFS(Fonctionnement[Montant],Fonctionnement[Allocation],Overhead6[[#This Row],[Fonction]],Fonctionnement[Frais généraux],Overhead6[[#Headers],[Frais directement liés à l''activité - Logistique]])</f>
        <v>0</v>
      </c>
      <c r="S20" s="53">
        <f>SUMIFS(Fonctionnement[Montant],Fonctionnement[Allocation],Overhead6[[#This Row],[Fonction]],Fonctionnement[Frais généraux],Overhead6[[#Headers],[Frais indirectement liés à l''activité - Prévues par la loi ]])</f>
        <v>0</v>
      </c>
      <c r="T20" s="53">
        <f>SUMIFS(Fonctionnement[Montant],Fonctionnement[Allocation],Overhead6[[#This Row],[Fonction]],Fonctionnement[Frais généraux],Overhead6[[#Headers],[Frais indirectement liés à l''activité - Autres fonctions - Administration / Logistique]])</f>
        <v>0</v>
      </c>
      <c r="U20" s="53">
        <f>SUMIFS(Fonctionnement[Montant],Fonctionnement[Allocation],Overhead6[[#This Row],[Fonction]],Fonctionnement[Frais généraux],Overhead6[[#Headers],[Frais indirectement liés à l''activité - Autres fonctions - Chargé(e) de direction]])</f>
        <v>0</v>
      </c>
      <c r="V20" s="54">
        <f>SUMIFS(Fonctionnement[Montant],Fonctionnement[Allocation],Overhead6[[#This Row],[Fonction]],Fonctionnement[Frais généraux],Overhead6[[#Headers],[Frais indirectement liés à l''activité - Autres fonctions - Direction générale]])</f>
        <v>0</v>
      </c>
    </row>
    <row r="21" spans="2:22" x14ac:dyDescent="0.25">
      <c r="B21" s="101" t="s">
        <v>592</v>
      </c>
      <c r="C21" s="398"/>
      <c r="D21" s="79"/>
      <c r="E21" s="396">
        <v>0</v>
      </c>
      <c r="F21" s="398"/>
      <c r="G21" s="101"/>
      <c r="H21" s="79"/>
      <c r="I21" s="101"/>
      <c r="J21" s="79"/>
      <c r="K21" s="102"/>
      <c r="O21" s="574"/>
      <c r="P21" s="58" t="s">
        <v>109</v>
      </c>
      <c r="Q21" s="53">
        <f>SUMIFS(Fonctionnement[Montant],Fonctionnement[Allocation],Overhead6[[#This Row],[Fonction]],Fonctionnement[Frais généraux],Overhead6[[#Headers],[Frais directement liés à l''activité - Encadrement]])</f>
        <v>0</v>
      </c>
      <c r="R21" s="53">
        <f>SUMIFS(Fonctionnement[Montant],Fonctionnement[Allocation],Overhead6[[#This Row],[Fonction]],Fonctionnement[Frais généraux],Overhead6[[#Headers],[Frais directement liés à l''activité - Logistique]])</f>
        <v>0</v>
      </c>
      <c r="S21" s="53">
        <f>SUMIFS(Fonctionnement[Montant],Fonctionnement[Allocation],Overhead6[[#This Row],[Fonction]],Fonctionnement[Frais généraux],Overhead6[[#Headers],[Frais indirectement liés à l''activité - Prévues par la loi ]])</f>
        <v>0</v>
      </c>
      <c r="T21" s="53">
        <f>SUMIFS(Fonctionnement[Montant],Fonctionnement[Allocation],Overhead6[[#This Row],[Fonction]],Fonctionnement[Frais généraux],Overhead6[[#Headers],[Frais indirectement liés à l''activité - Autres fonctions - Administration / Logistique]])</f>
        <v>0</v>
      </c>
      <c r="U21" s="53">
        <f>SUMIFS(Fonctionnement[Montant],Fonctionnement[Allocation],Overhead6[[#This Row],[Fonction]],Fonctionnement[Frais généraux],Overhead6[[#Headers],[Frais indirectement liés à l''activité - Autres fonctions - Chargé(e) de direction]])</f>
        <v>0</v>
      </c>
      <c r="V21" s="54">
        <f>SUMIFS(Fonctionnement[Montant],Fonctionnement[Allocation],Overhead6[[#This Row],[Fonction]],Fonctionnement[Frais généraux],Overhead6[[#Headers],[Frais indirectement liés à l''activité - Autres fonctions - Direction générale]])</f>
        <v>0</v>
      </c>
    </row>
    <row r="22" spans="2:22" x14ac:dyDescent="0.25">
      <c r="B22" s="393" t="s">
        <v>450</v>
      </c>
      <c r="C22" s="394"/>
      <c r="D22" s="394"/>
      <c r="E22" s="394"/>
      <c r="F22" s="394"/>
      <c r="G22" s="394"/>
      <c r="H22" s="394"/>
      <c r="I22" s="394"/>
      <c r="J22" s="394"/>
      <c r="K22" s="399"/>
      <c r="O22" s="574"/>
      <c r="P22" s="58" t="s">
        <v>110</v>
      </c>
      <c r="Q22" s="53">
        <f>SUMIFS(Fonctionnement[Montant],Fonctionnement[Allocation],Overhead6[[#This Row],[Fonction]],Fonctionnement[Frais généraux],Overhead6[[#Headers],[Frais directement liés à l''activité - Encadrement]])</f>
        <v>0</v>
      </c>
      <c r="R22" s="53">
        <f>SUMIFS(Fonctionnement[Montant],Fonctionnement[Allocation],Overhead6[[#This Row],[Fonction]],Fonctionnement[Frais généraux],Overhead6[[#Headers],[Frais directement liés à l''activité - Logistique]])</f>
        <v>0</v>
      </c>
      <c r="S22" s="53">
        <f>SUMIFS(Fonctionnement[Montant],Fonctionnement[Allocation],Overhead6[[#This Row],[Fonction]],Fonctionnement[Frais généraux],Overhead6[[#Headers],[Frais indirectement liés à l''activité - Prévues par la loi ]])</f>
        <v>0</v>
      </c>
      <c r="T22" s="53">
        <f>SUMIFS(Fonctionnement[Montant],Fonctionnement[Allocation],Overhead6[[#This Row],[Fonction]],Fonctionnement[Frais généraux],Overhead6[[#Headers],[Frais indirectement liés à l''activité - Autres fonctions - Administration / Logistique]])</f>
        <v>0</v>
      </c>
      <c r="U22" s="53">
        <f>SUMIFS(Fonctionnement[Montant],Fonctionnement[Allocation],Overhead6[[#This Row],[Fonction]],Fonctionnement[Frais généraux],Overhead6[[#Headers],[Frais indirectement liés à l''activité - Autres fonctions - Chargé(e) de direction]])</f>
        <v>0</v>
      </c>
      <c r="V22" s="54">
        <f>SUMIFS(Fonctionnement[Montant],Fonctionnement[Allocation],Overhead6[[#This Row],[Fonction]],Fonctionnement[Frais généraux],Overhead6[[#Headers],[Frais indirectement liés à l''activité - Autres fonctions - Direction générale]])</f>
        <v>0</v>
      </c>
    </row>
    <row r="23" spans="2:22" x14ac:dyDescent="0.25">
      <c r="B23" s="95" t="s">
        <v>436</v>
      </c>
      <c r="C23" s="109">
        <f>'Information générales 3'!C17</f>
        <v>0</v>
      </c>
      <c r="D23" s="96"/>
      <c r="E23" s="127" t="s">
        <v>442</v>
      </c>
      <c r="F23" s="130">
        <f>'Information générales 3'!C32</f>
        <v>0</v>
      </c>
      <c r="G23" s="96" t="s">
        <v>56</v>
      </c>
      <c r="H23" s="110">
        <f>'Information générales 3'!C46</f>
        <v>0</v>
      </c>
      <c r="I23" s="96"/>
      <c r="J23" s="127" t="s">
        <v>456</v>
      </c>
      <c r="K23" s="128">
        <f>InformationSEA[[#Totals],[Heures inclusion accordées]]</f>
        <v>0</v>
      </c>
      <c r="O23" s="574"/>
      <c r="P23" s="58" t="s">
        <v>111</v>
      </c>
      <c r="Q23" s="53">
        <f>SUMIFS(Fonctionnement[Montant],Fonctionnement[Allocation],Overhead6[[#This Row],[Fonction]],Fonctionnement[Frais généraux],Overhead6[[#Headers],[Frais directement liés à l''activité - Encadrement]])</f>
        <v>0</v>
      </c>
      <c r="R23" s="53">
        <f>SUMIFS(Fonctionnement[Montant],Fonctionnement[Allocation],Overhead6[[#This Row],[Fonction]],Fonctionnement[Frais généraux],Overhead6[[#Headers],[Frais directement liés à l''activité - Logistique]])</f>
        <v>0</v>
      </c>
      <c r="S23" s="53">
        <f>SUMIFS(Fonctionnement[Montant],Fonctionnement[Allocation],Overhead6[[#This Row],[Fonction]],Fonctionnement[Frais généraux],Overhead6[[#Headers],[Frais indirectement liés à l''activité - Prévues par la loi ]])</f>
        <v>0</v>
      </c>
      <c r="T23" s="53">
        <f>SUMIFS(Fonctionnement[Montant],Fonctionnement[Allocation],Overhead6[[#This Row],[Fonction]],Fonctionnement[Frais généraux],Overhead6[[#Headers],[Frais indirectement liés à l''activité - Autres fonctions - Administration / Logistique]])</f>
        <v>0</v>
      </c>
      <c r="U23" s="53">
        <f>SUMIFS(Fonctionnement[Montant],Fonctionnement[Allocation],Overhead6[[#This Row],[Fonction]],Fonctionnement[Frais généraux],Overhead6[[#Headers],[Frais indirectement liés à l''activité - Autres fonctions - Chargé(e) de direction]])</f>
        <v>0</v>
      </c>
      <c r="V23" s="54">
        <f>SUMIFS(Fonctionnement[Montant],Fonctionnement[Allocation],Overhead6[[#This Row],[Fonction]],Fonctionnement[Frais généraux],Overhead6[[#Headers],[Frais indirectement liés à l''activité - Autres fonctions - Direction générale]])</f>
        <v>0</v>
      </c>
    </row>
    <row r="24" spans="2:22" x14ac:dyDescent="0.25">
      <c r="B24" s="98" t="s">
        <v>437</v>
      </c>
      <c r="C24" s="111">
        <f>'Information générales 3'!C18</f>
        <v>0</v>
      </c>
      <c r="D24" s="99"/>
      <c r="E24" s="108" t="s">
        <v>451</v>
      </c>
      <c r="F24" s="131">
        <f>'Information générales 3'!C29</f>
        <v>0</v>
      </c>
      <c r="G24" s="99" t="s">
        <v>57</v>
      </c>
      <c r="H24" s="112">
        <f>'Information générales 3'!C47</f>
        <v>0</v>
      </c>
      <c r="I24" s="99"/>
      <c r="J24" s="99" t="s">
        <v>51</v>
      </c>
      <c r="K24" s="137">
        <f>MIN(InformationSEA[Date d''accord inclusion])</f>
        <v>0</v>
      </c>
      <c r="O24" s="574"/>
      <c r="P24" s="58" t="s">
        <v>112</v>
      </c>
      <c r="Q24" s="53">
        <f>SUMIFS(Fonctionnement[Montant],Fonctionnement[Allocation],Overhead6[[#This Row],[Fonction]],Fonctionnement[Frais généraux],Overhead6[[#Headers],[Frais directement liés à l''activité - Encadrement]])</f>
        <v>0</v>
      </c>
      <c r="R24" s="53">
        <f>SUMIFS(Fonctionnement[Montant],Fonctionnement[Allocation],Overhead6[[#This Row],[Fonction]],Fonctionnement[Frais généraux],Overhead6[[#Headers],[Frais directement liés à l''activité - Logistique]])</f>
        <v>0</v>
      </c>
      <c r="S24" s="53">
        <f>SUMIFS(Fonctionnement[Montant],Fonctionnement[Allocation],Overhead6[[#This Row],[Fonction]],Fonctionnement[Frais généraux],Overhead6[[#Headers],[Frais indirectement liés à l''activité - Prévues par la loi ]])</f>
        <v>0</v>
      </c>
      <c r="T24" s="53">
        <f>SUMIFS(Fonctionnement[Montant],Fonctionnement[Allocation],Overhead6[[#This Row],[Fonction]],Fonctionnement[Frais généraux],Overhead6[[#Headers],[Frais indirectement liés à l''activité - Autres fonctions - Administration / Logistique]])</f>
        <v>0</v>
      </c>
      <c r="U24" s="53">
        <f>SUMIFS(Fonctionnement[Montant],Fonctionnement[Allocation],Overhead6[[#This Row],[Fonction]],Fonctionnement[Frais généraux],Overhead6[[#Headers],[Frais indirectement liés à l''activité - Autres fonctions - Chargé(e) de direction]])</f>
        <v>0</v>
      </c>
      <c r="V24" s="54">
        <f>SUMIFS(Fonctionnement[Montant],Fonctionnement[Allocation],Overhead6[[#This Row],[Fonction]],Fonctionnement[Frais généraux],Overhead6[[#Headers],[Frais indirectement liés à l''activité - Autres fonctions - Direction générale]])</f>
        <v>0</v>
      </c>
    </row>
    <row r="25" spans="2:22" x14ac:dyDescent="0.25">
      <c r="B25" s="98" t="s">
        <v>45</v>
      </c>
      <c r="C25" s="111">
        <f>'Information générales 3'!C19</f>
        <v>0</v>
      </c>
      <c r="D25" s="99"/>
      <c r="E25" s="99" t="s">
        <v>452</v>
      </c>
      <c r="F25" s="112">
        <f>'Information générales 3'!C26</f>
        <v>0</v>
      </c>
      <c r="G25" s="99" t="s">
        <v>58</v>
      </c>
      <c r="H25" s="112">
        <f>'Information générales 3'!C48</f>
        <v>0</v>
      </c>
      <c r="I25" s="99"/>
      <c r="J25" s="108" t="s">
        <v>457</v>
      </c>
      <c r="K25" s="129">
        <f>IF('Information générales 3'!C43=0,0,IF(REVEX!C36=0,"Veuillez d'abord compléter les feuille Salaires CCT SAS et/ou Salaires COMMUNE",ROUNDUP('Information générales 3'!C43/RTT!$E$7*(ROUNDUP(((REVEX!C34/REVEX!C36)*RTT!$E$18)+((1-(REVEX!C34/REVEX!C36))*RTT!$F$18),0)),0)))</f>
        <v>0</v>
      </c>
      <c r="O25" s="574"/>
      <c r="P25" s="58" t="s">
        <v>113</v>
      </c>
      <c r="Q25" s="53">
        <f>SUMIFS(Fonctionnement[Montant],Fonctionnement[Allocation],Overhead6[[#This Row],[Fonction]],Fonctionnement[Frais généraux],Overhead6[[#Headers],[Frais directement liés à l''activité - Encadrement]])</f>
        <v>0</v>
      </c>
      <c r="R25" s="53">
        <f>SUMIFS(Fonctionnement[Montant],Fonctionnement[Allocation],Overhead6[[#This Row],[Fonction]],Fonctionnement[Frais généraux],Overhead6[[#Headers],[Frais directement liés à l''activité - Logistique]])</f>
        <v>0</v>
      </c>
      <c r="S25" s="53">
        <f>SUMIFS(Fonctionnement[Montant],Fonctionnement[Allocation],Overhead6[[#This Row],[Fonction]],Fonctionnement[Frais généraux],Overhead6[[#Headers],[Frais indirectement liés à l''activité - Prévues par la loi ]])</f>
        <v>0</v>
      </c>
      <c r="T25" s="53">
        <f>SUMIFS(Fonctionnement[Montant],Fonctionnement[Allocation],Overhead6[[#This Row],[Fonction]],Fonctionnement[Frais généraux],Overhead6[[#Headers],[Frais indirectement liés à l''activité - Autres fonctions - Administration / Logistique]])</f>
        <v>0</v>
      </c>
      <c r="U25" s="53">
        <f>SUMIFS(Fonctionnement[Montant],Fonctionnement[Allocation],Overhead6[[#This Row],[Fonction]],Fonctionnement[Frais généraux],Overhead6[[#Headers],[Frais indirectement liés à l''activité - Autres fonctions - Chargé(e) de direction]])</f>
        <v>0</v>
      </c>
      <c r="V25" s="54">
        <f>SUMIFS(Fonctionnement[Montant],Fonctionnement[Allocation],Overhead6[[#This Row],[Fonction]],Fonctionnement[Frais généraux],Overhead6[[#Headers],[Frais indirectement liés à l''activité - Autres fonctions - Direction générale]])</f>
        <v>0</v>
      </c>
    </row>
    <row r="26" spans="2:22" x14ac:dyDescent="0.25">
      <c r="B26" s="98" t="s">
        <v>438</v>
      </c>
      <c r="C26" s="111">
        <f>'Information générales 3'!C20</f>
        <v>0</v>
      </c>
      <c r="D26" s="99"/>
      <c r="E26" s="99" t="s">
        <v>453</v>
      </c>
      <c r="F26" s="112">
        <f>'Information générales 3'!C33</f>
        <v>0</v>
      </c>
      <c r="G26" s="99" t="s">
        <v>59</v>
      </c>
      <c r="H26" s="112">
        <f>'Information générales 3'!C49</f>
        <v>0</v>
      </c>
      <c r="I26" s="99"/>
      <c r="J26" s="99" t="s">
        <v>51</v>
      </c>
      <c r="K26" s="138">
        <f>'Information générales 3'!C40</f>
        <v>0</v>
      </c>
      <c r="O26" s="574"/>
      <c r="P26" s="58" t="s">
        <v>114</v>
      </c>
      <c r="Q26" s="53">
        <f>SUMIFS(Fonctionnement[Montant],Fonctionnement[Allocation],Overhead6[[#This Row],[Fonction]],Fonctionnement[Frais généraux],Overhead6[[#Headers],[Frais directement liés à l''activité - Encadrement]])</f>
        <v>0</v>
      </c>
      <c r="R26" s="53">
        <f>SUMIFS(Fonctionnement[Montant],Fonctionnement[Allocation],Overhead6[[#This Row],[Fonction]],Fonctionnement[Frais généraux],Overhead6[[#Headers],[Frais directement liés à l''activité - Logistique]])</f>
        <v>0</v>
      </c>
      <c r="S26" s="53">
        <f>SUMIFS(Fonctionnement[Montant],Fonctionnement[Allocation],Overhead6[[#This Row],[Fonction]],Fonctionnement[Frais généraux],Overhead6[[#Headers],[Frais indirectement liés à l''activité - Prévues par la loi ]])</f>
        <v>0</v>
      </c>
      <c r="T26" s="53">
        <f>SUMIFS(Fonctionnement[Montant],Fonctionnement[Allocation],Overhead6[[#This Row],[Fonction]],Fonctionnement[Frais généraux],Overhead6[[#Headers],[Frais indirectement liés à l''activité - Autres fonctions - Administration / Logistique]])</f>
        <v>0</v>
      </c>
      <c r="U26" s="53">
        <f>SUMIFS(Fonctionnement[Montant],Fonctionnement[Allocation],Overhead6[[#This Row],[Fonction]],Fonctionnement[Frais généraux],Overhead6[[#Headers],[Frais indirectement liés à l''activité - Autres fonctions - Chargé(e) de direction]])</f>
        <v>0</v>
      </c>
      <c r="V26" s="54">
        <f>SUMIFS(Fonctionnement[Montant],Fonctionnement[Allocation],Overhead6[[#This Row],[Fonction]],Fonctionnement[Frais généraux],Overhead6[[#Headers],[Frais indirectement liés à l''activité - Autres fonctions - Direction générale]])</f>
        <v>0</v>
      </c>
    </row>
    <row r="27" spans="2:22" x14ac:dyDescent="0.25">
      <c r="B27" s="98" t="s">
        <v>44</v>
      </c>
      <c r="C27" s="111">
        <f>'Information générales 3'!C21</f>
        <v>0</v>
      </c>
      <c r="D27" s="99"/>
      <c r="E27" s="99" t="s">
        <v>454</v>
      </c>
      <c r="F27" s="112">
        <f>'Information générales 3'!C30</f>
        <v>0</v>
      </c>
      <c r="G27" s="99" t="s">
        <v>60</v>
      </c>
      <c r="H27" s="112">
        <f>'Information générales 3'!C50</f>
        <v>0</v>
      </c>
      <c r="I27" s="99"/>
      <c r="J27" s="99" t="s">
        <v>516</v>
      </c>
      <c r="K27" s="125">
        <f>'Information générales 3'!C41</f>
        <v>0</v>
      </c>
      <c r="O27" s="574"/>
      <c r="P27" s="58" t="s">
        <v>115</v>
      </c>
      <c r="Q27" s="53">
        <f>SUMIFS(Fonctionnement[Montant],Fonctionnement[Allocation],Overhead6[[#This Row],[Fonction]],Fonctionnement[Frais généraux],Overhead6[[#Headers],[Frais directement liés à l''activité - Encadrement]])</f>
        <v>0</v>
      </c>
      <c r="R27" s="53">
        <f>SUMIFS(Fonctionnement[Montant],Fonctionnement[Allocation],Overhead6[[#This Row],[Fonction]],Fonctionnement[Frais généraux],Overhead6[[#Headers],[Frais directement liés à l''activité - Logistique]])</f>
        <v>0</v>
      </c>
      <c r="S27" s="53">
        <f>SUMIFS(Fonctionnement[Montant],Fonctionnement[Allocation],Overhead6[[#This Row],[Fonction]],Fonctionnement[Frais généraux],Overhead6[[#Headers],[Frais indirectement liés à l''activité - Prévues par la loi ]])</f>
        <v>0</v>
      </c>
      <c r="T27" s="53">
        <f>SUMIFS(Fonctionnement[Montant],Fonctionnement[Allocation],Overhead6[[#This Row],[Fonction]],Fonctionnement[Frais généraux],Overhead6[[#Headers],[Frais indirectement liés à l''activité - Autres fonctions - Administration / Logistique]])</f>
        <v>0</v>
      </c>
      <c r="U27" s="53">
        <f>SUMIFS(Fonctionnement[Montant],Fonctionnement[Allocation],Overhead6[[#This Row],[Fonction]],Fonctionnement[Frais généraux],Overhead6[[#Headers],[Frais indirectement liés à l''activité - Autres fonctions - Chargé(e) de direction]])</f>
        <v>0</v>
      </c>
      <c r="V27" s="54">
        <f>SUMIFS(Fonctionnement[Montant],Fonctionnement[Allocation],Overhead6[[#This Row],[Fonction]],Fonctionnement[Frais généraux],Overhead6[[#Headers],[Frais indirectement liés à l''activité - Autres fonctions - Direction générale]])</f>
        <v>0</v>
      </c>
    </row>
    <row r="28" spans="2:22" ht="15.75" thickBot="1" x14ac:dyDescent="0.3">
      <c r="B28" s="98" t="s">
        <v>439</v>
      </c>
      <c r="C28" s="111">
        <f>'Information générales 3'!C12</f>
        <v>0</v>
      </c>
      <c r="D28" s="99"/>
      <c r="E28" s="108" t="s">
        <v>458</v>
      </c>
      <c r="F28" s="132">
        <f>IF(F23=0,0,F26/F23)</f>
        <v>0</v>
      </c>
      <c r="G28" s="99" t="s">
        <v>61</v>
      </c>
      <c r="H28" s="112">
        <f>'Information générales 3'!C51</f>
        <v>0</v>
      </c>
      <c r="I28" s="99"/>
      <c r="J28" s="99" t="s">
        <v>517</v>
      </c>
      <c r="K28" s="125">
        <f>'Information générales 3'!C42</f>
        <v>0</v>
      </c>
      <c r="O28" s="575"/>
      <c r="P28" s="63" t="s">
        <v>116</v>
      </c>
      <c r="Q28" s="55">
        <f>SUMIFS(Fonctionnement[Montant],Fonctionnement[Allocation],Overhead6[[#This Row],[Fonction]],Fonctionnement[Frais généraux],Overhead6[[#Headers],[Frais directement liés à l''activité - Encadrement]])</f>
        <v>0</v>
      </c>
      <c r="R28" s="55">
        <f>SUMIFS(Fonctionnement[Montant],Fonctionnement[Allocation],Overhead6[[#This Row],[Fonction]],Fonctionnement[Frais généraux],Overhead6[[#Headers],[Frais directement liés à l''activité - Logistique]])</f>
        <v>0</v>
      </c>
      <c r="S28" s="55">
        <f>SUMIFS(Fonctionnement[Montant],Fonctionnement[Allocation],Overhead6[[#This Row],[Fonction]],Fonctionnement[Frais généraux],Overhead6[[#Headers],[Frais indirectement liés à l''activité - Prévues par la loi ]])</f>
        <v>0</v>
      </c>
      <c r="T28" s="55">
        <f>SUMIFS(Fonctionnement[Montant],Fonctionnement[Allocation],Overhead6[[#This Row],[Fonction]],Fonctionnement[Frais généraux],Overhead6[[#Headers],[Frais indirectement liés à l''activité - Autres fonctions - Administration / Logistique]])</f>
        <v>0</v>
      </c>
      <c r="U28" s="55">
        <f>SUMIFS(Fonctionnement[Montant],Fonctionnement[Allocation],Overhead6[[#This Row],[Fonction]],Fonctionnement[Frais généraux],Overhead6[[#Headers],[Frais indirectement liés à l''activité - Autres fonctions - Chargé(e) de direction]])</f>
        <v>0</v>
      </c>
      <c r="V28" s="56">
        <f>SUMIFS(Fonctionnement[Montant],Fonctionnement[Allocation],Overhead6[[#This Row],[Fonction]],Fonctionnement[Frais généraux],Overhead6[[#Headers],[Frais indirectement liés à l''activité - Autres fonctions - Direction générale]])</f>
        <v>0</v>
      </c>
    </row>
    <row r="29" spans="2:22" x14ac:dyDescent="0.25">
      <c r="B29" s="98" t="s">
        <v>440</v>
      </c>
      <c r="C29" s="111">
        <f>'Information générales 3'!C13</f>
        <v>0</v>
      </c>
      <c r="D29" s="99"/>
      <c r="E29" s="99"/>
      <c r="F29" s="99"/>
      <c r="G29" s="99"/>
      <c r="H29" s="112"/>
      <c r="I29" s="99"/>
      <c r="J29" s="108" t="s">
        <v>465</v>
      </c>
      <c r="K29" s="139">
        <f>SUMIF(EBS[EBS/ 
Renfort temporair],"EBS",EBS[heures annuelles])</f>
        <v>0</v>
      </c>
      <c r="O29" s="573" t="s">
        <v>382</v>
      </c>
      <c r="P29" s="58" t="s">
        <v>99</v>
      </c>
      <c r="Q29" s="53">
        <f>SUMIFS(CCTSAS[Total éligible],CCTSAS[Allocation fonctions],Overhead6[[#This Row],[Fonction]],CCTSAS[Frais généraux],Overhead6[[#Headers],[Frais directement liés à l''activité - Encadrement]])</f>
        <v>0</v>
      </c>
      <c r="R29" s="53">
        <f>SUMIFS(CCTSAS[Total éligible],CCTSAS[Allocation fonctions],Overhead6[[#This Row],[Fonction]],CCTSAS[Frais généraux],Overhead6[[#Headers],[Frais directement liés à l''activité - Logistique]])</f>
        <v>0</v>
      </c>
      <c r="S29" s="53">
        <f>SUMIFS(CCTSAS[Total éligible],CCTSAS[Allocation fonctions],Overhead6[[#This Row],[Fonction]],CCTSAS[Frais généraux],Overhead6[[#Headers],[Frais indirectement liés à l''activité - Prévues par la loi ]])</f>
        <v>0</v>
      </c>
      <c r="T29" s="53">
        <f>SUMIFS(CCTSAS[Total éligible],CCTSAS[Allocation fonctions],Overhead6[[#This Row],[Fonction]],CCTSAS[Frais généraux],Overhead6[[#Headers],[Frais indirectement liés à l''activité - Autres fonctions - Administration / Logistique]])</f>
        <v>0</v>
      </c>
      <c r="U29" s="53">
        <f>SUMIFS(CCTSAS[Total éligible],CCTSAS[Allocation fonctions],Overhead6[[#This Row],[Fonction]],CCTSAS[Frais généraux],Overhead6[[#Headers],[Frais indirectement liés à l''activité - Autres fonctions - Chargé(e) de direction]])</f>
        <v>0</v>
      </c>
      <c r="V29" s="54">
        <f>SUMIFS(CCTSAS[Total éligible],CCTSAS[Allocation fonctions],Overhead6[[#This Row],[Fonction]],CCTSAS[Frais généraux],Overhead6[[#Headers],[Frais indirectement liés à l''activité - Autres fonctions - Direction générale]])</f>
        <v>0</v>
      </c>
    </row>
    <row r="30" spans="2:22" x14ac:dyDescent="0.25">
      <c r="B30" s="98" t="s">
        <v>44</v>
      </c>
      <c r="C30" s="111">
        <f>'Information générales 3'!C14</f>
        <v>0</v>
      </c>
      <c r="D30" s="99"/>
      <c r="E30" s="99"/>
      <c r="F30" s="99"/>
      <c r="G30" s="99" t="s">
        <v>62</v>
      </c>
      <c r="H30" s="112">
        <f>'Information générales 3'!C53</f>
        <v>0</v>
      </c>
      <c r="I30" s="99"/>
      <c r="J30" s="108" t="s">
        <v>467</v>
      </c>
      <c r="K30" s="139">
        <f>SUMIF(EBS[EBS/ 
Renfort temporair],"Renfort temporaire",EBS[heures annuelles])</f>
        <v>0</v>
      </c>
      <c r="O30" s="574"/>
      <c r="P30" s="58" t="s">
        <v>100</v>
      </c>
      <c r="Q30" s="53">
        <f>SUMIFS(CCTSAS[Total éligible],CCTSAS[Allocation fonctions],Overhead6[[#This Row],[Fonction]],CCTSAS[Frais généraux],Overhead6[[#Headers],[Frais directement liés à l''activité - Encadrement]])</f>
        <v>0</v>
      </c>
      <c r="R30" s="53">
        <f>SUMIFS(CCTSAS[Total éligible],CCTSAS[Allocation fonctions],Overhead6[[#This Row],[Fonction]],CCTSAS[Frais généraux],Overhead6[[#Headers],[Frais directement liés à l''activité - Logistique]])</f>
        <v>0</v>
      </c>
      <c r="S30" s="53">
        <f>SUMIFS(CCTSAS[Total éligible],CCTSAS[Allocation fonctions],Overhead6[[#This Row],[Fonction]],CCTSAS[Frais généraux],Overhead6[[#Headers],[Frais indirectement liés à l''activité - Prévues par la loi ]])</f>
        <v>0</v>
      </c>
      <c r="T30" s="53">
        <f>SUMIFS(CCTSAS[Total éligible],CCTSAS[Allocation fonctions],Overhead6[[#This Row],[Fonction]],CCTSAS[Frais généraux],Overhead6[[#Headers],[Frais indirectement liés à l''activité - Autres fonctions - Administration / Logistique]])</f>
        <v>0</v>
      </c>
      <c r="U30" s="53">
        <f>SUMIFS(CCTSAS[Total éligible],CCTSAS[Allocation fonctions],Overhead6[[#This Row],[Fonction]],CCTSAS[Frais généraux],Overhead6[[#Headers],[Frais indirectement liés à l''activité - Autres fonctions - Chargé(e) de direction]])</f>
        <v>0</v>
      </c>
      <c r="V30" s="54">
        <f>SUMIFS(CCTSAS[Total éligible],CCTSAS[Allocation fonctions],Overhead6[[#This Row],[Fonction]],CCTSAS[Frais généraux],Overhead6[[#Headers],[Frais indirectement liés à l''activité - Autres fonctions - Direction générale]])</f>
        <v>0</v>
      </c>
    </row>
    <row r="31" spans="2:22" ht="15" customHeight="1" x14ac:dyDescent="0.25">
      <c r="B31" s="117" t="s">
        <v>543</v>
      </c>
      <c r="C31" s="131">
        <f>'Information générales 2'!H6</f>
        <v>0</v>
      </c>
      <c r="D31" s="99"/>
      <c r="E31" s="99"/>
      <c r="F31" s="99"/>
      <c r="G31" s="99" t="s">
        <v>63</v>
      </c>
      <c r="H31" s="112">
        <f>'Information générales 3'!C54</f>
        <v>0</v>
      </c>
      <c r="I31" s="99"/>
      <c r="J31" s="108" t="s">
        <v>466</v>
      </c>
      <c r="K31" s="139">
        <f>'Information générales 3'!C36</f>
        <v>0</v>
      </c>
      <c r="O31" s="574"/>
      <c r="P31" s="58" t="s">
        <v>101</v>
      </c>
      <c r="Q31" s="53">
        <f>SUMIFS(CCTSAS[Total éligible],CCTSAS[Allocation fonctions],Overhead6[[#This Row],[Fonction]],CCTSAS[Frais généraux],Overhead6[[#Headers],[Frais directement liés à l''activité - Encadrement]])</f>
        <v>0</v>
      </c>
      <c r="R31" s="53">
        <f>SUMIFS(CCTSAS[Total éligible],CCTSAS[Allocation fonctions],Overhead6[[#This Row],[Fonction]],CCTSAS[Frais généraux],Overhead6[[#Headers],[Frais directement liés à l''activité - Logistique]])</f>
        <v>0</v>
      </c>
      <c r="S31" s="53">
        <f>SUMIFS(CCTSAS[Total éligible],CCTSAS[Allocation fonctions],Overhead6[[#This Row],[Fonction]],CCTSAS[Frais généraux],Overhead6[[#Headers],[Frais indirectement liés à l''activité - Prévues par la loi ]])</f>
        <v>0</v>
      </c>
      <c r="T31" s="53">
        <f>SUMIFS(CCTSAS[Total éligible],CCTSAS[Allocation fonctions],Overhead6[[#This Row],[Fonction]],CCTSAS[Frais généraux],Overhead6[[#Headers],[Frais indirectement liés à l''activité - Autres fonctions - Administration / Logistique]])</f>
        <v>0</v>
      </c>
      <c r="U31" s="53">
        <f>SUMIFS(CCTSAS[Total éligible],CCTSAS[Allocation fonctions],Overhead6[[#This Row],[Fonction]],CCTSAS[Frais généraux],Overhead6[[#Headers],[Frais indirectement liés à l''activité - Autres fonctions - Chargé(e) de direction]])</f>
        <v>0</v>
      </c>
      <c r="V31" s="54">
        <f>SUMIFS(CCTSAS[Total éligible],CCTSAS[Allocation fonctions],Overhead6[[#This Row],[Fonction]],CCTSAS[Frais généraux],Overhead6[[#Headers],[Frais indirectement liés à l''activité - Autres fonctions - Direction générale]])</f>
        <v>0</v>
      </c>
    </row>
    <row r="32" spans="2:22" x14ac:dyDescent="0.25">
      <c r="B32" s="101"/>
      <c r="C32" s="79"/>
      <c r="D32" s="79"/>
      <c r="E32" s="79"/>
      <c r="F32" s="79"/>
      <c r="G32" s="79" t="s">
        <v>64</v>
      </c>
      <c r="H32" s="113">
        <f>'Information générales 3'!C55</f>
        <v>0</v>
      </c>
      <c r="I32" s="79"/>
      <c r="J32" s="165" t="s">
        <v>468</v>
      </c>
      <c r="K32" s="167">
        <f>'Information générales 3'!C37</f>
        <v>0</v>
      </c>
      <c r="O32" s="574"/>
      <c r="P32" s="58" t="s">
        <v>102</v>
      </c>
      <c r="Q32" s="53">
        <f>SUMIFS(CCTSAS[Total éligible],CCTSAS[Allocation fonctions],Overhead6[[#This Row],[Fonction]],CCTSAS[Frais généraux],Overhead6[[#Headers],[Frais directement liés à l''activité - Encadrement]])</f>
        <v>0</v>
      </c>
      <c r="R32" s="53">
        <f>SUMIFS(CCTSAS[Total éligible],CCTSAS[Allocation fonctions],Overhead6[[#This Row],[Fonction]],CCTSAS[Frais généraux],Overhead6[[#Headers],[Frais directement liés à l''activité - Logistique]])</f>
        <v>0</v>
      </c>
      <c r="S32" s="53">
        <f>SUMIFS(CCTSAS[Total éligible],CCTSAS[Allocation fonctions],Overhead6[[#This Row],[Fonction]],CCTSAS[Frais généraux],Overhead6[[#Headers],[Frais indirectement liés à l''activité - Prévues par la loi ]])</f>
        <v>0</v>
      </c>
      <c r="T32" s="53">
        <f>SUMIFS(CCTSAS[Total éligible],CCTSAS[Allocation fonctions],Overhead6[[#This Row],[Fonction]],CCTSAS[Frais généraux],Overhead6[[#Headers],[Frais indirectement liés à l''activité - Autres fonctions - Administration / Logistique]])</f>
        <v>0</v>
      </c>
      <c r="U32" s="53">
        <f>SUMIFS(CCTSAS[Total éligible],CCTSAS[Allocation fonctions],Overhead6[[#This Row],[Fonction]],CCTSAS[Frais généraux],Overhead6[[#Headers],[Frais indirectement liés à l''activité - Autres fonctions - Chargé(e) de direction]])</f>
        <v>0</v>
      </c>
      <c r="V32" s="54">
        <f>SUMIFS(CCTSAS[Total éligible],CCTSAS[Allocation fonctions],Overhead6[[#This Row],[Fonction]],CCTSAS[Frais généraux],Overhead6[[#Headers],[Frais indirectement liés à l''activité - Autres fonctions - Direction générale]])</f>
        <v>0</v>
      </c>
    </row>
    <row r="33" spans="2:22" x14ac:dyDescent="0.25">
      <c r="B33" s="142" t="s">
        <v>473</v>
      </c>
      <c r="C33" s="135"/>
      <c r="D33" s="135"/>
      <c r="E33" s="135"/>
      <c r="F33" s="135"/>
      <c r="G33" s="135"/>
      <c r="H33" s="135"/>
      <c r="I33" s="135"/>
      <c r="J33" s="135"/>
      <c r="K33" s="136"/>
      <c r="O33" s="574"/>
      <c r="P33" s="58" t="s">
        <v>103</v>
      </c>
      <c r="Q33" s="53">
        <f>SUMIFS(CCTSAS[Total éligible],CCTSAS[Allocation fonctions],Overhead6[[#This Row],[Fonction]],CCTSAS[Frais généraux],Overhead6[[#Headers],[Frais directement liés à l''activité - Encadrement]])</f>
        <v>0</v>
      </c>
      <c r="R33" s="53">
        <f>SUMIFS(CCTSAS[Total éligible],CCTSAS[Allocation fonctions],Overhead6[[#This Row],[Fonction]],CCTSAS[Frais généraux],Overhead6[[#Headers],[Frais directement liés à l''activité - Logistique]])</f>
        <v>0</v>
      </c>
      <c r="S33" s="53">
        <f>SUMIFS(CCTSAS[Total éligible],CCTSAS[Allocation fonctions],Overhead6[[#This Row],[Fonction]],CCTSAS[Frais généraux],Overhead6[[#Headers],[Frais indirectement liés à l''activité - Prévues par la loi ]])</f>
        <v>0</v>
      </c>
      <c r="T33" s="53">
        <f>SUMIFS(CCTSAS[Total éligible],CCTSAS[Allocation fonctions],Overhead6[[#This Row],[Fonction]],CCTSAS[Frais généraux],Overhead6[[#Headers],[Frais indirectement liés à l''activité - Autres fonctions - Administration / Logistique]])</f>
        <v>0</v>
      </c>
      <c r="U33" s="53">
        <f>SUMIFS(CCTSAS[Total éligible],CCTSAS[Allocation fonctions],Overhead6[[#This Row],[Fonction]],CCTSAS[Frais généraux],Overhead6[[#Headers],[Frais indirectement liés à l''activité - Autres fonctions - Chargé(e) de direction]])</f>
        <v>0</v>
      </c>
      <c r="V33" s="54">
        <f>SUMIFS(CCTSAS[Total éligible],CCTSAS[Allocation fonctions],Overhead6[[#This Row],[Fonction]],CCTSAS[Frais généraux],Overhead6[[#Headers],[Frais indirectement liés à l''activité - Autres fonctions - Direction générale]])</f>
        <v>0</v>
      </c>
    </row>
    <row r="34" spans="2:22" x14ac:dyDescent="0.25">
      <c r="B34" s="95" t="s">
        <v>459</v>
      </c>
      <c r="C34" s="109">
        <f>SUMIF(CCTSAS[Allocation fonctions],"Encadrement",CCTSAS[Heures annuelles RTT])</f>
        <v>0</v>
      </c>
      <c r="D34" s="96"/>
      <c r="E34" s="96" t="s">
        <v>487</v>
      </c>
      <c r="F34" s="109">
        <f>SUMIF(CCTSAS[Allocation fonctions],"Projets spécifiques &amp; EBS",CCTSAS[Heures annuelles RTT])</f>
        <v>0</v>
      </c>
      <c r="G34" s="96"/>
      <c r="H34" s="96"/>
      <c r="I34" s="96"/>
      <c r="J34" s="96"/>
      <c r="K34" s="97"/>
      <c r="O34" s="574"/>
      <c r="P34" s="58" t="s">
        <v>117</v>
      </c>
      <c r="Q34" s="53">
        <f>SUMIFS(CCTSAS[Total éligible],CCTSAS[Allocation fonctions],Overhead6[[#This Row],[Fonction]],CCTSAS[Frais généraux],Overhead6[[#Headers],[Frais directement liés à l''activité - Encadrement]])</f>
        <v>0</v>
      </c>
      <c r="R34" s="53">
        <f>SUMIFS(CCTSAS[Total éligible],CCTSAS[Allocation fonctions],Overhead6[[#This Row],[Fonction]],CCTSAS[Frais généraux],Overhead6[[#Headers],[Frais directement liés à l''activité - Logistique]])</f>
        <v>0</v>
      </c>
      <c r="S34" s="53">
        <f>SUMIFS(CCTSAS[Total éligible],CCTSAS[Allocation fonctions],Overhead6[[#This Row],[Fonction]],CCTSAS[Frais généraux],Overhead6[[#Headers],[Frais indirectement liés à l''activité - Prévues par la loi ]])</f>
        <v>0</v>
      </c>
      <c r="T34" s="53">
        <f>SUMIFS(CCTSAS[Total éligible],CCTSAS[Allocation fonctions],Overhead6[[#This Row],[Fonction]],CCTSAS[Frais généraux],Overhead6[[#Headers],[Frais indirectement liés à l''activité - Autres fonctions - Administration / Logistique]])</f>
        <v>0</v>
      </c>
      <c r="U34" s="53">
        <f>SUMIFS(CCTSAS[Total éligible],CCTSAS[Allocation fonctions],Overhead6[[#This Row],[Fonction]],CCTSAS[Frais généraux],Overhead6[[#Headers],[Frais indirectement liés à l''activité - Autres fonctions - Chargé(e) de direction]])</f>
        <v>0</v>
      </c>
      <c r="V34" s="54">
        <f>SUMIFS(CCTSAS[Total éligible],CCTSAS[Allocation fonctions],Overhead6[[#This Row],[Fonction]],CCTSAS[Frais généraux],Overhead6[[#Headers],[Frais indirectement liés à l''activité - Autres fonctions - Direction générale]])</f>
        <v>0</v>
      </c>
    </row>
    <row r="35" spans="2:22" x14ac:dyDescent="0.25">
      <c r="B35" s="98" t="s">
        <v>460</v>
      </c>
      <c r="C35" s="111">
        <f>SUMIF(SalCommune[Allocations fonctions],"Encadrement",SalCommune[Heures annuelles RTT])</f>
        <v>0</v>
      </c>
      <c r="D35" s="99"/>
      <c r="E35" s="99" t="s">
        <v>488</v>
      </c>
      <c r="F35" s="111">
        <f>SUMIF(SalCommune[Allocations fonctions],"Projets spécifiques &amp; EBS",SalCommune[Heures annuelles RTT])</f>
        <v>0</v>
      </c>
      <c r="G35" s="99"/>
      <c r="H35" s="99"/>
      <c r="I35" s="99"/>
      <c r="J35" s="99"/>
      <c r="K35" s="100"/>
      <c r="O35" s="574"/>
      <c r="P35" s="58" t="s">
        <v>104</v>
      </c>
      <c r="Q35" s="53">
        <f>SUMIFS(CCTSAS[Total éligible],CCTSAS[Allocation fonctions],Overhead6[[#This Row],[Fonction]],CCTSAS[Frais généraux],Overhead6[[#Headers],[Frais directement liés à l''activité - Encadrement]])</f>
        <v>0</v>
      </c>
      <c r="R35" s="53">
        <f>SUMIFS(CCTSAS[Total éligible],CCTSAS[Allocation fonctions],Overhead6[[#This Row],[Fonction]],CCTSAS[Frais généraux],Overhead6[[#Headers],[Frais directement liés à l''activité - Logistique]])</f>
        <v>0</v>
      </c>
      <c r="S35" s="53">
        <f>SUMIFS(CCTSAS[Total éligible],CCTSAS[Allocation fonctions],Overhead6[[#This Row],[Fonction]],CCTSAS[Frais généraux],Overhead6[[#Headers],[Frais indirectement liés à l''activité - Prévues par la loi ]])</f>
        <v>0</v>
      </c>
      <c r="T35" s="53">
        <f>SUMIFS(CCTSAS[Total éligible],CCTSAS[Allocation fonctions],Overhead6[[#This Row],[Fonction]],CCTSAS[Frais généraux],Overhead6[[#Headers],[Frais indirectement liés à l''activité - Autres fonctions - Administration / Logistique]])</f>
        <v>0</v>
      </c>
      <c r="U35" s="53">
        <f>SUMIFS(CCTSAS[Total éligible],CCTSAS[Allocation fonctions],Overhead6[[#This Row],[Fonction]],CCTSAS[Frais généraux],Overhead6[[#Headers],[Frais indirectement liés à l''activité - Autres fonctions - Chargé(e) de direction]])</f>
        <v>0</v>
      </c>
      <c r="V35" s="54">
        <f>SUMIFS(CCTSAS[Total éligible],CCTSAS[Allocation fonctions],Overhead6[[#This Row],[Fonction]],CCTSAS[Frais généraux],Overhead6[[#Headers],[Frais indirectement liés à l''activité - Autres fonctions - Direction générale]])</f>
        <v>0</v>
      </c>
    </row>
    <row r="36" spans="2:22" x14ac:dyDescent="0.25">
      <c r="B36" s="98" t="s">
        <v>464</v>
      </c>
      <c r="C36" s="111">
        <f>C34+C35</f>
        <v>0</v>
      </c>
      <c r="D36" s="99"/>
      <c r="E36" s="108" t="s">
        <v>486</v>
      </c>
      <c r="F36" s="131">
        <f>SUM(F34:F35)</f>
        <v>0</v>
      </c>
      <c r="G36" s="99"/>
      <c r="H36" s="99"/>
      <c r="I36" s="99"/>
      <c r="J36" s="99"/>
      <c r="K36" s="100"/>
      <c r="O36" s="574"/>
      <c r="P36" s="58" t="s">
        <v>105</v>
      </c>
      <c r="Q36" s="53">
        <f>SUMIFS(CCTSAS[Total éligible],CCTSAS[Allocation fonctions],Overhead6[[#This Row],[Fonction]],CCTSAS[Frais généraux],Overhead6[[#Headers],[Frais directement liés à l''activité - Encadrement]])</f>
        <v>0</v>
      </c>
      <c r="R36" s="53">
        <f>SUMIFS(CCTSAS[Total éligible],CCTSAS[Allocation fonctions],Overhead6[[#This Row],[Fonction]],CCTSAS[Frais généraux],Overhead6[[#Headers],[Frais directement liés à l''activité - Logistique]])</f>
        <v>0</v>
      </c>
      <c r="S36" s="53">
        <f>SUMIFS(CCTSAS[Total éligible],CCTSAS[Allocation fonctions],Overhead6[[#This Row],[Fonction]],CCTSAS[Frais généraux],Overhead6[[#Headers],[Frais indirectement liés à l''activité - Prévues par la loi ]])</f>
        <v>0</v>
      </c>
      <c r="T36" s="53">
        <f>SUMIFS(CCTSAS[Total éligible],CCTSAS[Allocation fonctions],Overhead6[[#This Row],[Fonction]],CCTSAS[Frais généraux],Overhead6[[#Headers],[Frais indirectement liés à l''activité - Autres fonctions - Administration / Logistique]])</f>
        <v>0</v>
      </c>
      <c r="U36" s="53">
        <f>SUMIFS(CCTSAS[Total éligible],CCTSAS[Allocation fonctions],Overhead6[[#This Row],[Fonction]],CCTSAS[Frais généraux],Overhead6[[#Headers],[Frais indirectement liés à l''activité - Autres fonctions - Chargé(e) de direction]])</f>
        <v>0</v>
      </c>
      <c r="V36" s="54">
        <f>SUMIFS(CCTSAS[Total éligible],CCTSAS[Allocation fonctions],Overhead6[[#This Row],[Fonction]],CCTSAS[Frais généraux],Overhead6[[#Headers],[Frais indirectement liés à l''activité - Autres fonctions - Direction générale]])</f>
        <v>0</v>
      </c>
    </row>
    <row r="37" spans="2:22" x14ac:dyDescent="0.25">
      <c r="B37" s="98" t="s">
        <v>461</v>
      </c>
      <c r="C37" s="111">
        <f>SUMIF(CCTSAS[Allocation fonctions],"Encadrement",CCTSAS[heures annuelles
selon contrat(s)])</f>
        <v>0</v>
      </c>
      <c r="D37" s="99"/>
      <c r="E37" s="99"/>
      <c r="F37" s="99"/>
      <c r="G37" s="99"/>
      <c r="H37" s="99"/>
      <c r="I37" s="99"/>
      <c r="J37" s="99"/>
      <c r="K37" s="100"/>
      <c r="O37" s="574"/>
      <c r="P37" s="58" t="s">
        <v>106</v>
      </c>
      <c r="Q37" s="53">
        <f>SUMIFS(CCTSAS[Total éligible],CCTSAS[Allocation fonctions],Overhead6[[#This Row],[Fonction]],CCTSAS[Frais généraux],Overhead6[[#Headers],[Frais directement liés à l''activité - Encadrement]])</f>
        <v>0</v>
      </c>
      <c r="R37" s="53">
        <f>SUMIFS(CCTSAS[Total éligible],CCTSAS[Allocation fonctions],Overhead6[[#This Row],[Fonction]],CCTSAS[Frais généraux],Overhead6[[#Headers],[Frais directement liés à l''activité - Logistique]])</f>
        <v>0</v>
      </c>
      <c r="S37" s="53">
        <f>SUMIFS(CCTSAS[Total éligible],CCTSAS[Allocation fonctions],Overhead6[[#This Row],[Fonction]],CCTSAS[Frais généraux],Overhead6[[#Headers],[Frais indirectement liés à l''activité - Prévues par la loi ]])</f>
        <v>0</v>
      </c>
      <c r="T37" s="53">
        <f>SUMIFS(CCTSAS[Total éligible],CCTSAS[Allocation fonctions],Overhead6[[#This Row],[Fonction]],CCTSAS[Frais généraux],Overhead6[[#Headers],[Frais indirectement liés à l''activité - Autres fonctions - Administration / Logistique]])</f>
        <v>0</v>
      </c>
      <c r="U37" s="53">
        <f>SUMIFS(CCTSAS[Total éligible],CCTSAS[Allocation fonctions],Overhead6[[#This Row],[Fonction]],CCTSAS[Frais généraux],Overhead6[[#Headers],[Frais indirectement liés à l''activité - Autres fonctions - Chargé(e) de direction]])</f>
        <v>0</v>
      </c>
      <c r="V37" s="54">
        <f>SUMIFS(CCTSAS[Total éligible],CCTSAS[Allocation fonctions],Overhead6[[#This Row],[Fonction]],CCTSAS[Frais généraux],Overhead6[[#Headers],[Frais indirectement liés à l''activité - Autres fonctions - Direction générale]])</f>
        <v>0</v>
      </c>
    </row>
    <row r="38" spans="2:22" x14ac:dyDescent="0.25">
      <c r="B38" s="98" t="s">
        <v>462</v>
      </c>
      <c r="C38" s="111">
        <f>SUMIF(SalCommune[Allocations fonctions],"Encadrement",SalCommune[heures annuelles
selon contrat(s)])</f>
        <v>0</v>
      </c>
      <c r="D38" s="99"/>
      <c r="E38" s="99"/>
      <c r="F38" s="99"/>
      <c r="G38" s="99"/>
      <c r="H38" s="99"/>
      <c r="I38" s="99"/>
      <c r="J38" s="99"/>
      <c r="K38" s="100"/>
      <c r="O38" s="574"/>
      <c r="P38" s="58" t="s">
        <v>107</v>
      </c>
      <c r="Q38" s="53">
        <f>SUMIFS(CCTSAS[Total éligible],CCTSAS[Allocation fonctions],Overhead6[[#This Row],[Fonction]],CCTSAS[Frais généraux],Overhead6[[#Headers],[Frais directement liés à l''activité - Encadrement]])</f>
        <v>0</v>
      </c>
      <c r="R38" s="53">
        <f>SUMIFS(CCTSAS[Total éligible],CCTSAS[Allocation fonctions],Overhead6[[#This Row],[Fonction]],CCTSAS[Frais généraux],Overhead6[[#Headers],[Frais directement liés à l''activité - Logistique]])</f>
        <v>0</v>
      </c>
      <c r="S38" s="53">
        <f>SUMIFS(CCTSAS[Total éligible],CCTSAS[Allocation fonctions],Overhead6[[#This Row],[Fonction]],CCTSAS[Frais généraux],Overhead6[[#Headers],[Frais indirectement liés à l''activité - Prévues par la loi ]])</f>
        <v>0</v>
      </c>
      <c r="T38" s="53">
        <f>SUMIFS(CCTSAS[Total éligible],CCTSAS[Allocation fonctions],Overhead6[[#This Row],[Fonction]],CCTSAS[Frais généraux],Overhead6[[#Headers],[Frais indirectement liés à l''activité - Autres fonctions - Administration / Logistique]])</f>
        <v>0</v>
      </c>
      <c r="U38" s="53">
        <f>SUMIFS(CCTSAS[Total éligible],CCTSAS[Allocation fonctions],Overhead6[[#This Row],[Fonction]],CCTSAS[Frais généraux],Overhead6[[#Headers],[Frais indirectement liés à l''activité - Autres fonctions - Chargé(e) de direction]])</f>
        <v>0</v>
      </c>
      <c r="V38" s="54">
        <f>SUMIFS(CCTSAS[Total éligible],CCTSAS[Allocation fonctions],Overhead6[[#This Row],[Fonction]],CCTSAS[Frais généraux],Overhead6[[#Headers],[Frais indirectement liés à l''activité - Autres fonctions - Direction générale]])</f>
        <v>0</v>
      </c>
    </row>
    <row r="39" spans="2:22" x14ac:dyDescent="0.25">
      <c r="B39" s="101" t="s">
        <v>463</v>
      </c>
      <c r="C39" s="141">
        <f>C37+C38</f>
        <v>0</v>
      </c>
      <c r="D39" s="79"/>
      <c r="E39" s="79"/>
      <c r="F39" s="79"/>
      <c r="G39" s="79"/>
      <c r="H39" s="79"/>
      <c r="I39" s="79"/>
      <c r="J39" s="79"/>
      <c r="K39" s="102"/>
      <c r="O39" s="574"/>
      <c r="P39" s="58" t="s">
        <v>108</v>
      </c>
      <c r="Q39" s="53">
        <f>SUMIFS(CCTSAS[Total éligible],CCTSAS[Allocation fonctions],Overhead6[[#This Row],[Fonction]],CCTSAS[Frais généraux],Overhead6[[#Headers],[Frais directement liés à l''activité - Encadrement]])</f>
        <v>0</v>
      </c>
      <c r="R39" s="53">
        <f>SUMIFS(CCTSAS[Total éligible],CCTSAS[Allocation fonctions],Overhead6[[#This Row],[Fonction]],CCTSAS[Frais généraux],Overhead6[[#Headers],[Frais directement liés à l''activité - Logistique]])</f>
        <v>0</v>
      </c>
      <c r="S39" s="53">
        <f>SUMIFS(CCTSAS[Total éligible],CCTSAS[Allocation fonctions],Overhead6[[#This Row],[Fonction]],CCTSAS[Frais généraux],Overhead6[[#Headers],[Frais indirectement liés à l''activité - Prévues par la loi ]])</f>
        <v>0</v>
      </c>
      <c r="T39" s="53">
        <f>SUMIFS(CCTSAS[Total éligible],CCTSAS[Allocation fonctions],Overhead6[[#This Row],[Fonction]],CCTSAS[Frais généraux],Overhead6[[#Headers],[Frais indirectement liés à l''activité - Autres fonctions - Administration / Logistique]])</f>
        <v>0</v>
      </c>
      <c r="U39" s="53">
        <f>SUMIFS(CCTSAS[Total éligible],CCTSAS[Allocation fonctions],Overhead6[[#This Row],[Fonction]],CCTSAS[Frais généraux],Overhead6[[#Headers],[Frais indirectement liés à l''activité - Autres fonctions - Chargé(e) de direction]])</f>
        <v>0</v>
      </c>
      <c r="V39" s="54">
        <f>SUMIFS(CCTSAS[Total éligible],CCTSAS[Allocation fonctions],Overhead6[[#This Row],[Fonction]],CCTSAS[Frais généraux],Overhead6[[#Headers],[Frais indirectement liés à l''activité - Autres fonctions - Direction générale]])</f>
        <v>0</v>
      </c>
    </row>
    <row r="40" spans="2:22" x14ac:dyDescent="0.25">
      <c r="B40" s="142" t="s">
        <v>469</v>
      </c>
      <c r="C40" s="135"/>
      <c r="D40" s="135"/>
      <c r="E40" s="135"/>
      <c r="F40" s="135"/>
      <c r="G40" s="135"/>
      <c r="H40" s="135"/>
      <c r="I40" s="135"/>
      <c r="J40" s="135"/>
      <c r="K40" s="136"/>
      <c r="O40" s="574"/>
      <c r="P40" s="58" t="s">
        <v>109</v>
      </c>
      <c r="Q40" s="53">
        <f>SUMIFS(CCTSAS[Total éligible],CCTSAS[Allocation fonctions],Overhead6[[#This Row],[Fonction]],CCTSAS[Frais généraux],Overhead6[[#Headers],[Frais directement liés à l''activité - Encadrement]])</f>
        <v>0</v>
      </c>
      <c r="R40" s="53">
        <f>SUMIFS(CCTSAS[Total éligible],CCTSAS[Allocation fonctions],Overhead6[[#This Row],[Fonction]],CCTSAS[Frais généraux],Overhead6[[#Headers],[Frais directement liés à l''activité - Logistique]])</f>
        <v>0</v>
      </c>
      <c r="S40" s="53">
        <f>SUMIFS(CCTSAS[Total éligible],CCTSAS[Allocation fonctions],Overhead6[[#This Row],[Fonction]],CCTSAS[Frais généraux],Overhead6[[#Headers],[Frais indirectement liés à l''activité - Prévues par la loi ]])</f>
        <v>0</v>
      </c>
      <c r="T40" s="53">
        <f>SUMIFS(CCTSAS[Total éligible],CCTSAS[Allocation fonctions],Overhead6[[#This Row],[Fonction]],CCTSAS[Frais généraux],Overhead6[[#Headers],[Frais indirectement liés à l''activité - Autres fonctions - Administration / Logistique]])</f>
        <v>0</v>
      </c>
      <c r="U40" s="53">
        <f>SUMIFS(CCTSAS[Total éligible],CCTSAS[Allocation fonctions],Overhead6[[#This Row],[Fonction]],CCTSAS[Frais généraux],Overhead6[[#Headers],[Frais indirectement liés à l''activité - Autres fonctions - Chargé(e) de direction]])</f>
        <v>0</v>
      </c>
      <c r="V40" s="54">
        <f>SUMIFS(CCTSAS[Total éligible],CCTSAS[Allocation fonctions],Overhead6[[#This Row],[Fonction]],CCTSAS[Frais généraux],Overhead6[[#Headers],[Frais indirectement liés à l''activité - Autres fonctions - Direction générale]])</f>
        <v>0</v>
      </c>
    </row>
    <row r="41" spans="2:22" x14ac:dyDescent="0.25">
      <c r="B41" s="146" t="s">
        <v>262</v>
      </c>
      <c r="C41" s="146" t="s">
        <v>470</v>
      </c>
      <c r="D41" s="147"/>
      <c r="E41" s="148" t="s">
        <v>471</v>
      </c>
      <c r="F41" s="149" t="s">
        <v>383</v>
      </c>
      <c r="G41" s="149" t="s">
        <v>472</v>
      </c>
      <c r="H41" s="99"/>
      <c r="I41" s="99"/>
      <c r="J41" s="99"/>
      <c r="K41" s="100"/>
      <c r="O41" s="574"/>
      <c r="P41" s="58" t="s">
        <v>110</v>
      </c>
      <c r="Q41" s="53">
        <f>SUMIFS(CCTSAS[Total éligible],CCTSAS[Allocation fonctions],Overhead6[[#This Row],[Fonction]],CCTSAS[Frais généraux],Overhead6[[#Headers],[Frais directement liés à l''activité - Encadrement]])</f>
        <v>0</v>
      </c>
      <c r="R41" s="53">
        <f>SUMIFS(CCTSAS[Total éligible],CCTSAS[Allocation fonctions],Overhead6[[#This Row],[Fonction]],CCTSAS[Frais généraux],Overhead6[[#Headers],[Frais directement liés à l''activité - Logistique]])</f>
        <v>0</v>
      </c>
      <c r="S41" s="53">
        <f>SUMIFS(CCTSAS[Total éligible],CCTSAS[Allocation fonctions],Overhead6[[#This Row],[Fonction]],CCTSAS[Frais généraux],Overhead6[[#Headers],[Frais indirectement liés à l''activité - Prévues par la loi ]])</f>
        <v>0</v>
      </c>
      <c r="T41" s="53">
        <f>SUMIFS(CCTSAS[Total éligible],CCTSAS[Allocation fonctions],Overhead6[[#This Row],[Fonction]],CCTSAS[Frais généraux],Overhead6[[#Headers],[Frais indirectement liés à l''activité - Autres fonctions - Administration / Logistique]])</f>
        <v>0</v>
      </c>
      <c r="U41" s="53">
        <f>SUMIFS(CCTSAS[Total éligible],CCTSAS[Allocation fonctions],Overhead6[[#This Row],[Fonction]],CCTSAS[Frais généraux],Overhead6[[#Headers],[Frais indirectement liés à l''activité - Autres fonctions - Chargé(e) de direction]])</f>
        <v>0</v>
      </c>
      <c r="V41" s="54">
        <f>SUMIFS(CCTSAS[Total éligible],CCTSAS[Allocation fonctions],Overhead6[[#This Row],[Fonction]],CCTSAS[Frais généraux],Overhead6[[#Headers],[Frais indirectement liés à l''activité - Autres fonctions - Direction générale]])</f>
        <v>0</v>
      </c>
    </row>
    <row r="42" spans="2:22" x14ac:dyDescent="0.25">
      <c r="B42" s="150" t="s">
        <v>99</v>
      </c>
      <c r="C42" s="151">
        <f>SUMIF(VariablesInternes[Fonction],B42,VariablesInternes[FF])</f>
        <v>0</v>
      </c>
      <c r="D42" s="151"/>
      <c r="E42" s="151">
        <f>SUMIF(VariablesInternes[Fonction],B42,VariablesInternes[FP SAS])</f>
        <v>0</v>
      </c>
      <c r="F42" s="151">
        <f>SUMIF(VariablesInternes[Fonction],B42,VariablesInternes[FP Commune])</f>
        <v>0</v>
      </c>
      <c r="G42" s="156">
        <f>SUM(C42:F42)</f>
        <v>0</v>
      </c>
      <c r="H42" s="99"/>
      <c r="I42" s="99"/>
      <c r="J42" s="115" t="s">
        <v>531</v>
      </c>
      <c r="K42" s="168">
        <f>E42+F42</f>
        <v>0</v>
      </c>
      <c r="O42" s="574"/>
      <c r="P42" s="58" t="s">
        <v>111</v>
      </c>
      <c r="Q42" s="53">
        <f>SUMIFS(CCTSAS[Total éligible],CCTSAS[Allocation fonctions],Overhead6[[#This Row],[Fonction]],CCTSAS[Frais généraux],Overhead6[[#Headers],[Frais directement liés à l''activité - Encadrement]])</f>
        <v>0</v>
      </c>
      <c r="R42" s="53">
        <f>SUMIFS(CCTSAS[Total éligible],CCTSAS[Allocation fonctions],Overhead6[[#This Row],[Fonction]],CCTSAS[Frais généraux],Overhead6[[#Headers],[Frais directement liés à l''activité - Logistique]])</f>
        <v>0</v>
      </c>
      <c r="S42" s="53">
        <f>SUMIFS(CCTSAS[Total éligible],CCTSAS[Allocation fonctions],Overhead6[[#This Row],[Fonction]],CCTSAS[Frais généraux],Overhead6[[#Headers],[Frais indirectement liés à l''activité - Prévues par la loi ]])</f>
        <v>0</v>
      </c>
      <c r="T42" s="53">
        <f>SUMIFS(CCTSAS[Total éligible],CCTSAS[Allocation fonctions],Overhead6[[#This Row],[Fonction]],CCTSAS[Frais généraux],Overhead6[[#Headers],[Frais indirectement liés à l''activité - Autres fonctions - Administration / Logistique]])</f>
        <v>0</v>
      </c>
      <c r="U42" s="53">
        <f>SUMIFS(CCTSAS[Total éligible],CCTSAS[Allocation fonctions],Overhead6[[#This Row],[Fonction]],CCTSAS[Frais généraux],Overhead6[[#Headers],[Frais indirectement liés à l''activité - Autres fonctions - Chargé(e) de direction]])</f>
        <v>0</v>
      </c>
      <c r="V42" s="54">
        <f>SUMIFS(CCTSAS[Total éligible],CCTSAS[Allocation fonctions],Overhead6[[#This Row],[Fonction]],CCTSAS[Frais généraux],Overhead6[[#Headers],[Frais indirectement liés à l''activité - Autres fonctions - Direction générale]])</f>
        <v>0</v>
      </c>
    </row>
    <row r="43" spans="2:22" x14ac:dyDescent="0.25">
      <c r="B43" s="152" t="s">
        <v>100</v>
      </c>
      <c r="C43" s="153">
        <f>SUMIF(VariablesInternes[Fonction],B43,VariablesInternes[FF])</f>
        <v>0</v>
      </c>
      <c r="D43" s="153"/>
      <c r="E43" s="153">
        <f>SUMIF(VariablesInternes[Fonction],B43,VariablesInternes[FP SAS])</f>
        <v>0</v>
      </c>
      <c r="F43" s="153">
        <f>SUMIF(VariablesInternes[Fonction],B43,VariablesInternes[FP Commune])</f>
        <v>0</v>
      </c>
      <c r="G43" s="157">
        <f t="shared" ref="G43:G60" si="1">SUM(C43:F43)</f>
        <v>0</v>
      </c>
      <c r="H43" s="99"/>
      <c r="I43" s="99"/>
      <c r="J43" s="117" t="s">
        <v>532</v>
      </c>
      <c r="K43" s="174">
        <f>G61-K42-G60-C75-C76-C77</f>
        <v>0</v>
      </c>
      <c r="O43" s="574"/>
      <c r="P43" s="58" t="s">
        <v>112</v>
      </c>
      <c r="Q43" s="53">
        <f>SUMIFS(CCTSAS[Total éligible],CCTSAS[Allocation fonctions],Overhead6[[#This Row],[Fonction]],CCTSAS[Frais généraux],Overhead6[[#Headers],[Frais directement liés à l''activité - Encadrement]])</f>
        <v>0</v>
      </c>
      <c r="R43" s="53">
        <f>SUMIFS(CCTSAS[Total éligible],CCTSAS[Allocation fonctions],Overhead6[[#This Row],[Fonction]],CCTSAS[Frais généraux],Overhead6[[#Headers],[Frais directement liés à l''activité - Logistique]])</f>
        <v>0</v>
      </c>
      <c r="S43" s="53">
        <f>SUMIFS(CCTSAS[Total éligible],CCTSAS[Allocation fonctions],Overhead6[[#This Row],[Fonction]],CCTSAS[Frais généraux],Overhead6[[#Headers],[Frais indirectement liés à l''activité - Prévues par la loi ]])</f>
        <v>0</v>
      </c>
      <c r="T43" s="53">
        <f>SUMIFS(CCTSAS[Total éligible],CCTSAS[Allocation fonctions],Overhead6[[#This Row],[Fonction]],CCTSAS[Frais généraux],Overhead6[[#Headers],[Frais indirectement liés à l''activité - Autres fonctions - Administration / Logistique]])</f>
        <v>0</v>
      </c>
      <c r="U43" s="53">
        <f>SUMIFS(CCTSAS[Total éligible],CCTSAS[Allocation fonctions],Overhead6[[#This Row],[Fonction]],CCTSAS[Frais généraux],Overhead6[[#Headers],[Frais indirectement liés à l''activité - Autres fonctions - Chargé(e) de direction]])</f>
        <v>0</v>
      </c>
      <c r="V43" s="54">
        <f>SUMIFS(CCTSAS[Total éligible],CCTSAS[Allocation fonctions],Overhead6[[#This Row],[Fonction]],CCTSAS[Frais généraux],Overhead6[[#Headers],[Frais indirectement liés à l''activité - Autres fonctions - Direction générale]])</f>
        <v>0</v>
      </c>
    </row>
    <row r="44" spans="2:22" x14ac:dyDescent="0.25">
      <c r="B44" s="152" t="s">
        <v>101</v>
      </c>
      <c r="C44" s="153">
        <f>SUMIF(VariablesInternes[Fonction],B44,VariablesInternes[FF])</f>
        <v>0</v>
      </c>
      <c r="D44" s="153"/>
      <c r="E44" s="153">
        <f>SUMIF(VariablesInternes[Fonction],B44,VariablesInternes[FP SAS])</f>
        <v>0</v>
      </c>
      <c r="F44" s="153">
        <f>SUMIF(VariablesInternes[Fonction],B44,VariablesInternes[FP Commune])</f>
        <v>0</v>
      </c>
      <c r="G44" s="157">
        <f t="shared" si="1"/>
        <v>0</v>
      </c>
      <c r="H44" s="99"/>
      <c r="I44" s="99"/>
      <c r="J44" s="117" t="s">
        <v>535</v>
      </c>
      <c r="K44" s="174">
        <f>SUM(E60:F60)</f>
        <v>0</v>
      </c>
      <c r="O44" s="574"/>
      <c r="P44" s="58" t="s">
        <v>113</v>
      </c>
      <c r="Q44" s="53">
        <f>SUMIFS(CCTSAS[Total éligible],CCTSAS[Allocation fonctions],Overhead6[[#This Row],[Fonction]],CCTSAS[Frais généraux],Overhead6[[#Headers],[Frais directement liés à l''activité - Encadrement]])</f>
        <v>0</v>
      </c>
      <c r="R44" s="53">
        <f>SUMIFS(CCTSAS[Total éligible],CCTSAS[Allocation fonctions],Overhead6[[#This Row],[Fonction]],CCTSAS[Frais généraux],Overhead6[[#Headers],[Frais directement liés à l''activité - Logistique]])</f>
        <v>0</v>
      </c>
      <c r="S44" s="53">
        <f>SUMIFS(CCTSAS[Total éligible],CCTSAS[Allocation fonctions],Overhead6[[#This Row],[Fonction]],CCTSAS[Frais généraux],Overhead6[[#Headers],[Frais indirectement liés à l''activité - Prévues par la loi ]])</f>
        <v>0</v>
      </c>
      <c r="T44" s="53">
        <f>SUMIFS(CCTSAS[Total éligible],CCTSAS[Allocation fonctions],Overhead6[[#This Row],[Fonction]],CCTSAS[Frais généraux],Overhead6[[#Headers],[Frais indirectement liés à l''activité - Autres fonctions - Administration / Logistique]])</f>
        <v>0</v>
      </c>
      <c r="U44" s="53">
        <f>SUMIFS(CCTSAS[Total éligible],CCTSAS[Allocation fonctions],Overhead6[[#This Row],[Fonction]],CCTSAS[Frais généraux],Overhead6[[#Headers],[Frais indirectement liés à l''activité - Autres fonctions - Chargé(e) de direction]])</f>
        <v>0</v>
      </c>
      <c r="V44" s="54">
        <f>SUMIFS(CCTSAS[Total éligible],CCTSAS[Allocation fonctions],Overhead6[[#This Row],[Fonction]],CCTSAS[Frais généraux],Overhead6[[#Headers],[Frais indirectement liés à l''activité - Autres fonctions - Direction générale]])</f>
        <v>0</v>
      </c>
    </row>
    <row r="45" spans="2:22" x14ac:dyDescent="0.25">
      <c r="B45" s="152" t="s">
        <v>102</v>
      </c>
      <c r="C45" s="153">
        <f>SUMIF(VariablesInternes[Fonction],B45,VariablesInternes[FF])</f>
        <v>0</v>
      </c>
      <c r="D45" s="153"/>
      <c r="E45" s="153">
        <f>SUMIF(VariablesInternes[Fonction],B45,VariablesInternes[FP SAS])</f>
        <v>0</v>
      </c>
      <c r="F45" s="153">
        <f>SUMIF(VariablesInternes[Fonction],B45,VariablesInternes[FP Commune])</f>
        <v>0</v>
      </c>
      <c r="G45" s="157">
        <f t="shared" si="1"/>
        <v>0</v>
      </c>
      <c r="H45" s="99"/>
      <c r="I45" s="99"/>
      <c r="J45" s="117" t="s">
        <v>536</v>
      </c>
      <c r="K45" s="174">
        <f>C60</f>
        <v>0</v>
      </c>
      <c r="O45" s="574"/>
      <c r="P45" s="58" t="s">
        <v>114</v>
      </c>
      <c r="Q45" s="53">
        <f>SUMIFS(CCTSAS[Total éligible],CCTSAS[Allocation fonctions],Overhead6[[#This Row],[Fonction]],CCTSAS[Frais généraux],Overhead6[[#Headers],[Frais directement liés à l''activité - Encadrement]])</f>
        <v>0</v>
      </c>
      <c r="R45" s="53">
        <f>SUMIFS(CCTSAS[Total éligible],CCTSAS[Allocation fonctions],Overhead6[[#This Row],[Fonction]],CCTSAS[Frais généraux],Overhead6[[#Headers],[Frais directement liés à l''activité - Logistique]])</f>
        <v>0</v>
      </c>
      <c r="S45" s="53">
        <f>SUMIFS(CCTSAS[Total éligible],CCTSAS[Allocation fonctions],Overhead6[[#This Row],[Fonction]],CCTSAS[Frais généraux],Overhead6[[#Headers],[Frais indirectement liés à l''activité - Prévues par la loi ]])</f>
        <v>0</v>
      </c>
      <c r="T45" s="53">
        <f>SUMIFS(CCTSAS[Total éligible],CCTSAS[Allocation fonctions],Overhead6[[#This Row],[Fonction]],CCTSAS[Frais généraux],Overhead6[[#Headers],[Frais indirectement liés à l''activité - Autres fonctions - Administration / Logistique]])</f>
        <v>0</v>
      </c>
      <c r="U45" s="53">
        <f>SUMIFS(CCTSAS[Total éligible],CCTSAS[Allocation fonctions],Overhead6[[#This Row],[Fonction]],CCTSAS[Frais généraux],Overhead6[[#Headers],[Frais indirectement liés à l''activité - Autres fonctions - Chargé(e) de direction]])</f>
        <v>0</v>
      </c>
      <c r="V45" s="54">
        <f>SUMIFS(CCTSAS[Total éligible],CCTSAS[Allocation fonctions],Overhead6[[#This Row],[Fonction]],CCTSAS[Frais généraux],Overhead6[[#Headers],[Frais indirectement liés à l''activité - Autres fonctions - Direction générale]])</f>
        <v>0</v>
      </c>
    </row>
    <row r="46" spans="2:22" x14ac:dyDescent="0.25">
      <c r="B46" s="152" t="s">
        <v>103</v>
      </c>
      <c r="C46" s="153">
        <f>SUMIF(VariablesInternes[Fonction],B46,VariablesInternes[FF])</f>
        <v>0</v>
      </c>
      <c r="D46" s="153"/>
      <c r="E46" s="153">
        <f>SUMIF(VariablesInternes[Fonction],B46,VariablesInternes[FP SAS])</f>
        <v>0</v>
      </c>
      <c r="F46" s="153">
        <f>SUMIF(VariablesInternes[Fonction],B46,VariablesInternes[FP Commune])</f>
        <v>0</v>
      </c>
      <c r="G46" s="157">
        <f t="shared" si="1"/>
        <v>0</v>
      </c>
      <c r="H46" s="99"/>
      <c r="I46" s="99"/>
      <c r="J46" s="176" t="s">
        <v>534</v>
      </c>
      <c r="K46" s="177">
        <f>SUM(K42:K45)</f>
        <v>0</v>
      </c>
      <c r="O46" s="574"/>
      <c r="P46" s="58" t="s">
        <v>115</v>
      </c>
      <c r="Q46" s="53">
        <f>SUMIFS(CCTSAS[Total éligible],CCTSAS[Allocation fonctions],Overhead6[[#This Row],[Fonction]],CCTSAS[Frais généraux],Overhead6[[#Headers],[Frais directement liés à l''activité - Encadrement]])</f>
        <v>0</v>
      </c>
      <c r="R46" s="53">
        <f>SUMIFS(CCTSAS[Total éligible],CCTSAS[Allocation fonctions],Overhead6[[#This Row],[Fonction]],CCTSAS[Frais généraux],Overhead6[[#Headers],[Frais directement liés à l''activité - Logistique]])</f>
        <v>0</v>
      </c>
      <c r="S46" s="53">
        <f>SUMIFS(CCTSAS[Total éligible],CCTSAS[Allocation fonctions],Overhead6[[#This Row],[Fonction]],CCTSAS[Frais généraux],Overhead6[[#Headers],[Frais indirectement liés à l''activité - Prévues par la loi ]])</f>
        <v>0</v>
      </c>
      <c r="T46" s="53">
        <f>SUMIFS(CCTSAS[Total éligible],CCTSAS[Allocation fonctions],Overhead6[[#This Row],[Fonction]],CCTSAS[Frais généraux],Overhead6[[#Headers],[Frais indirectement liés à l''activité - Autres fonctions - Administration / Logistique]])</f>
        <v>0</v>
      </c>
      <c r="U46" s="53">
        <f>SUMIFS(CCTSAS[Total éligible],CCTSAS[Allocation fonctions],Overhead6[[#This Row],[Fonction]],CCTSAS[Frais généraux],Overhead6[[#Headers],[Frais indirectement liés à l''activité - Autres fonctions - Chargé(e) de direction]])</f>
        <v>0</v>
      </c>
      <c r="V46" s="54">
        <f>SUMIFS(CCTSAS[Total éligible],CCTSAS[Allocation fonctions],Overhead6[[#This Row],[Fonction]],CCTSAS[Frais généraux],Overhead6[[#Headers],[Frais indirectement liés à l''activité - Autres fonctions - Direction générale]])</f>
        <v>0</v>
      </c>
    </row>
    <row r="47" spans="2:22" ht="15.75" thickBot="1" x14ac:dyDescent="0.3">
      <c r="B47" s="152" t="s">
        <v>117</v>
      </c>
      <c r="C47" s="153">
        <f>SUMIF(VariablesInternes[Fonction],B47,VariablesInternes[FF])</f>
        <v>0</v>
      </c>
      <c r="D47" s="153"/>
      <c r="E47" s="153">
        <f>SUMIF(VariablesInternes[Fonction],B47,VariablesInternes[FP SAS])</f>
        <v>0</v>
      </c>
      <c r="F47" s="153">
        <f>SUMIF(VariablesInternes[Fonction],B47,VariablesInternes[FP Commune])</f>
        <v>0</v>
      </c>
      <c r="G47" s="157">
        <f t="shared" si="1"/>
        <v>0</v>
      </c>
      <c r="H47" s="99"/>
      <c r="I47" s="99"/>
      <c r="J47" s="99"/>
      <c r="K47" s="100"/>
      <c r="O47" s="575"/>
      <c r="P47" s="58" t="s">
        <v>116</v>
      </c>
      <c r="Q47" s="53">
        <f>SUMIFS(CCTSAS[Total éligible],CCTSAS[Allocation fonctions],Overhead6[[#This Row],[Fonction]],CCTSAS[Frais généraux],Overhead6[[#Headers],[Frais directement liés à l''activité - Encadrement]])</f>
        <v>0</v>
      </c>
      <c r="R47" s="53">
        <f>SUMIFS(CCTSAS[Total éligible],CCTSAS[Allocation fonctions],Overhead6[[#This Row],[Fonction]],CCTSAS[Frais généraux],Overhead6[[#Headers],[Frais directement liés à l''activité - Logistique]])</f>
        <v>0</v>
      </c>
      <c r="S47" s="53">
        <f>SUMIFS(CCTSAS[Total éligible],CCTSAS[Allocation fonctions],Overhead6[[#This Row],[Fonction]],CCTSAS[Frais généraux],Overhead6[[#Headers],[Frais indirectement liés à l''activité - Prévues par la loi ]])</f>
        <v>0</v>
      </c>
      <c r="T47" s="53">
        <f>SUMIFS(CCTSAS[Total éligible],CCTSAS[Allocation fonctions],Overhead6[[#This Row],[Fonction]],CCTSAS[Frais généraux],Overhead6[[#Headers],[Frais indirectement liés à l''activité - Autres fonctions - Administration / Logistique]])</f>
        <v>0</v>
      </c>
      <c r="U47" s="53">
        <f>SUMIFS(CCTSAS[Total éligible],CCTSAS[Allocation fonctions],Overhead6[[#This Row],[Fonction]],CCTSAS[Frais généraux],Overhead6[[#Headers],[Frais indirectement liés à l''activité - Autres fonctions - Chargé(e) de direction]])</f>
        <v>0</v>
      </c>
      <c r="V47" s="54">
        <f>SUMIFS(CCTSAS[Total éligible],CCTSAS[Allocation fonctions],Overhead6[[#This Row],[Fonction]],CCTSAS[Frais généraux],Overhead6[[#Headers],[Frais indirectement liés à l''activité - Autres fonctions - Direction générale]])</f>
        <v>0</v>
      </c>
    </row>
    <row r="48" spans="2:22" x14ac:dyDescent="0.25">
      <c r="B48" s="152" t="s">
        <v>104</v>
      </c>
      <c r="C48" s="153">
        <f>SUMIF(VariablesInternes[Fonction],B48,VariablesInternes[FF])</f>
        <v>0</v>
      </c>
      <c r="D48" s="153"/>
      <c r="E48" s="153">
        <f>SUMIF(VariablesInternes[Fonction],B48,VariablesInternes[FP SAS])</f>
        <v>0</v>
      </c>
      <c r="F48" s="153">
        <f>SUMIF(VariablesInternes[Fonction],B48,VariablesInternes[FP Commune])</f>
        <v>0</v>
      </c>
      <c r="G48" s="157">
        <f t="shared" si="1"/>
        <v>0</v>
      </c>
      <c r="H48" s="99"/>
      <c r="I48" s="99"/>
      <c r="J48" s="99"/>
      <c r="K48" s="100"/>
      <c r="O48" s="573" t="s">
        <v>383</v>
      </c>
      <c r="P48" s="60" t="s">
        <v>99</v>
      </c>
      <c r="Q48" s="61">
        <f>SUMIFS(SalCommune[Total éligible],SalCommune[Allocations fonctions],Overhead6[[#This Row],[Fonction]],SalCommune[Frais généraux],Overhead6[[#Headers],[Frais directement liés à l''activité - Encadrement]])</f>
        <v>0</v>
      </c>
      <c r="R48" s="61">
        <f>SUMIFS(SalCommune[Total éligible],SalCommune[Allocations fonctions],Overhead6[[#This Row],[Fonction]],SalCommune[Frais généraux],Overhead6[[#Headers],[Frais directement liés à l''activité - Logistique]])</f>
        <v>0</v>
      </c>
      <c r="S48" s="61">
        <f>SUMIFS(SalCommune[Total éligible],SalCommune[Allocations fonctions],Overhead6[[#This Row],[Fonction]],SalCommune[Frais généraux],Overhead6[[#Headers],[Frais indirectement liés à l''activité - Prévues par la loi ]])</f>
        <v>0</v>
      </c>
      <c r="T48" s="61">
        <f>SUMIFS(SalCommune[Total éligible],SalCommune[Allocations fonctions],Overhead6[[#This Row],[Fonction]],SalCommune[Frais généraux],Overhead6[[#Headers],[Frais indirectement liés à l''activité - Autres fonctions - Administration / Logistique]])</f>
        <v>0</v>
      </c>
      <c r="U48" s="61">
        <f>SUMIFS(SalCommune[Total éligible],SalCommune[Allocations fonctions],Overhead6[[#This Row],[Fonction]],SalCommune[Frais généraux],Overhead6[[#Headers],[Frais indirectement liés à l''activité - Autres fonctions - Chargé(e) de direction]])</f>
        <v>0</v>
      </c>
      <c r="V48" s="62">
        <f>SUMIFS(SalCommune[Total éligible],SalCommune[Allocations fonctions],Overhead6[[#This Row],[Fonction]],SalCommune[Frais généraux],Overhead6[[#Headers],[Frais indirectement liés à l''activité - Autres fonctions - Direction générale]])</f>
        <v>0</v>
      </c>
    </row>
    <row r="49" spans="2:22" x14ac:dyDescent="0.25">
      <c r="B49" s="152" t="s">
        <v>105</v>
      </c>
      <c r="C49" s="153">
        <f>SUMIF(VariablesInternes[Fonction],B49,VariablesInternes[FF])</f>
        <v>0</v>
      </c>
      <c r="D49" s="153"/>
      <c r="E49" s="153">
        <f>SUMIF(VariablesInternes[Fonction],B49,VariablesInternes[FP SAS])</f>
        <v>0</v>
      </c>
      <c r="F49" s="153">
        <f>SUMIF(VariablesInternes[Fonction],B49,VariablesInternes[FP Commune])</f>
        <v>0</v>
      </c>
      <c r="G49" s="157">
        <f t="shared" si="1"/>
        <v>0</v>
      </c>
      <c r="H49" s="99"/>
      <c r="I49" s="99"/>
      <c r="J49" s="99"/>
      <c r="K49" s="100"/>
      <c r="O49" s="574"/>
      <c r="P49" s="58" t="s">
        <v>100</v>
      </c>
      <c r="Q49" s="53">
        <f>SUMIFS(SalCommune[Total éligible],SalCommune[Allocations fonctions],Overhead6[[#This Row],[Fonction]],SalCommune[Frais généraux],Overhead6[[#Headers],[Frais directement liés à l''activité - Encadrement]])</f>
        <v>0</v>
      </c>
      <c r="R49" s="53">
        <f>SUMIFS(SalCommune[Total éligible],SalCommune[Allocations fonctions],Overhead6[[#This Row],[Fonction]],SalCommune[Frais généraux],Overhead6[[#Headers],[Frais directement liés à l''activité - Logistique]])</f>
        <v>0</v>
      </c>
      <c r="S49" s="53">
        <f>SUMIFS(SalCommune[Total éligible],SalCommune[Allocations fonctions],Overhead6[[#This Row],[Fonction]],SalCommune[Frais généraux],Overhead6[[#Headers],[Frais indirectement liés à l''activité - Prévues par la loi ]])</f>
        <v>0</v>
      </c>
      <c r="T49" s="53">
        <f>SUMIFS(SalCommune[Total éligible],SalCommune[Allocations fonctions],Overhead6[[#This Row],[Fonction]],SalCommune[Frais généraux],Overhead6[[#Headers],[Frais indirectement liés à l''activité - Autres fonctions - Administration / Logistique]])</f>
        <v>0</v>
      </c>
      <c r="U49" s="53">
        <f>SUMIFS(SalCommune[Total éligible],SalCommune[Allocations fonctions],Overhead6[[#This Row],[Fonction]],SalCommune[Frais généraux],Overhead6[[#Headers],[Frais indirectement liés à l''activité - Autres fonctions - Chargé(e) de direction]])</f>
        <v>0</v>
      </c>
      <c r="V49" s="54">
        <f>SUMIFS(SalCommune[Total éligible],SalCommune[Allocations fonctions],Overhead6[[#This Row],[Fonction]],SalCommune[Frais généraux],Overhead6[[#Headers],[Frais indirectement liés à l''activité - Autres fonctions - Direction générale]])</f>
        <v>0</v>
      </c>
    </row>
    <row r="50" spans="2:22" ht="15" customHeight="1" x14ac:dyDescent="0.25">
      <c r="B50" s="152" t="s">
        <v>106</v>
      </c>
      <c r="C50" s="153">
        <f>SUMIF(VariablesInternes[Fonction],B50,VariablesInternes[FF])</f>
        <v>0</v>
      </c>
      <c r="D50" s="153"/>
      <c r="E50" s="153">
        <f>SUMIF(VariablesInternes[Fonction],B50,VariablesInternes[FP SAS])</f>
        <v>0</v>
      </c>
      <c r="F50" s="153">
        <f>SUMIF(VariablesInternes[Fonction],B50,VariablesInternes[FP Commune])</f>
        <v>0</v>
      </c>
      <c r="G50" s="157">
        <f t="shared" si="1"/>
        <v>0</v>
      </c>
      <c r="H50" s="99"/>
      <c r="I50" s="99"/>
      <c r="J50" s="99"/>
      <c r="K50" s="100"/>
      <c r="O50" s="574"/>
      <c r="P50" s="58" t="s">
        <v>101</v>
      </c>
      <c r="Q50" s="53">
        <f>SUMIFS(SalCommune[Total éligible],SalCommune[Allocations fonctions],Overhead6[[#This Row],[Fonction]],SalCommune[Frais généraux],Overhead6[[#Headers],[Frais directement liés à l''activité - Encadrement]])</f>
        <v>0</v>
      </c>
      <c r="R50" s="53">
        <f>SUMIFS(SalCommune[Total éligible],SalCommune[Allocations fonctions],Overhead6[[#This Row],[Fonction]],SalCommune[Frais généraux],Overhead6[[#Headers],[Frais directement liés à l''activité - Logistique]])</f>
        <v>0</v>
      </c>
      <c r="S50" s="53">
        <f>SUMIFS(SalCommune[Total éligible],SalCommune[Allocations fonctions],Overhead6[[#This Row],[Fonction]],SalCommune[Frais généraux],Overhead6[[#Headers],[Frais indirectement liés à l''activité - Prévues par la loi ]])</f>
        <v>0</v>
      </c>
      <c r="T50" s="53">
        <f>SUMIFS(SalCommune[Total éligible],SalCommune[Allocations fonctions],Overhead6[[#This Row],[Fonction]],SalCommune[Frais généraux],Overhead6[[#Headers],[Frais indirectement liés à l''activité - Autres fonctions - Administration / Logistique]])</f>
        <v>0</v>
      </c>
      <c r="U50" s="53">
        <f>SUMIFS(SalCommune[Total éligible],SalCommune[Allocations fonctions],Overhead6[[#This Row],[Fonction]],SalCommune[Frais généraux],Overhead6[[#Headers],[Frais indirectement liés à l''activité - Autres fonctions - Chargé(e) de direction]])</f>
        <v>0</v>
      </c>
      <c r="V50" s="54">
        <f>SUMIFS(SalCommune[Total éligible],SalCommune[Allocations fonctions],Overhead6[[#This Row],[Fonction]],SalCommune[Frais généraux],Overhead6[[#Headers],[Frais indirectement liés à l''activité - Autres fonctions - Direction générale]])</f>
        <v>0</v>
      </c>
    </row>
    <row r="51" spans="2:22" x14ac:dyDescent="0.25">
      <c r="B51" s="152" t="s">
        <v>107</v>
      </c>
      <c r="C51" s="153">
        <f>SUMIF(VariablesInternes[Fonction],B51,VariablesInternes[FF])</f>
        <v>0</v>
      </c>
      <c r="D51" s="153"/>
      <c r="E51" s="153">
        <f>SUMIF(VariablesInternes[Fonction],B51,VariablesInternes[FP SAS])</f>
        <v>0</v>
      </c>
      <c r="F51" s="153">
        <f>SUMIF(VariablesInternes[Fonction],B51,VariablesInternes[FP Commune])</f>
        <v>0</v>
      </c>
      <c r="G51" s="157">
        <f t="shared" si="1"/>
        <v>0</v>
      </c>
      <c r="H51" s="99"/>
      <c r="I51" s="99"/>
      <c r="J51" s="99"/>
      <c r="K51" s="100"/>
      <c r="O51" s="574"/>
      <c r="P51" s="58" t="s">
        <v>102</v>
      </c>
      <c r="Q51" s="53">
        <f>SUMIFS(SalCommune[Total éligible],SalCommune[Allocations fonctions],Overhead6[[#This Row],[Fonction]],SalCommune[Frais généraux],Overhead6[[#Headers],[Frais directement liés à l''activité - Encadrement]])</f>
        <v>0</v>
      </c>
      <c r="R51" s="53">
        <f>SUMIFS(SalCommune[Total éligible],SalCommune[Allocations fonctions],Overhead6[[#This Row],[Fonction]],SalCommune[Frais généraux],Overhead6[[#Headers],[Frais directement liés à l''activité - Logistique]])</f>
        <v>0</v>
      </c>
      <c r="S51" s="53">
        <f>SUMIFS(SalCommune[Total éligible],SalCommune[Allocations fonctions],Overhead6[[#This Row],[Fonction]],SalCommune[Frais généraux],Overhead6[[#Headers],[Frais indirectement liés à l''activité - Prévues par la loi ]])</f>
        <v>0</v>
      </c>
      <c r="T51" s="53">
        <f>SUMIFS(SalCommune[Total éligible],SalCommune[Allocations fonctions],Overhead6[[#This Row],[Fonction]],SalCommune[Frais généraux],Overhead6[[#Headers],[Frais indirectement liés à l''activité - Autres fonctions - Administration / Logistique]])</f>
        <v>0</v>
      </c>
      <c r="U51" s="53">
        <f>SUMIFS(SalCommune[Total éligible],SalCommune[Allocations fonctions],Overhead6[[#This Row],[Fonction]],SalCommune[Frais généraux],Overhead6[[#Headers],[Frais indirectement liés à l''activité - Autres fonctions - Chargé(e) de direction]])</f>
        <v>0</v>
      </c>
      <c r="V51" s="54">
        <f>SUMIFS(SalCommune[Total éligible],SalCommune[Allocations fonctions],Overhead6[[#This Row],[Fonction]],SalCommune[Frais généraux],Overhead6[[#Headers],[Frais indirectement liés à l''activité - Autres fonctions - Direction générale]])</f>
        <v>0</v>
      </c>
    </row>
    <row r="52" spans="2:22" x14ac:dyDescent="0.25">
      <c r="B52" s="152" t="s">
        <v>108</v>
      </c>
      <c r="C52" s="153">
        <f>SUMIF(VariablesInternes[Fonction],B52,VariablesInternes[FF])</f>
        <v>0</v>
      </c>
      <c r="D52" s="153"/>
      <c r="E52" s="153">
        <f>SUMIF(VariablesInternes[Fonction],B52,VariablesInternes[FP SAS])</f>
        <v>0</v>
      </c>
      <c r="F52" s="153">
        <f>SUMIF(VariablesInternes[Fonction],B52,VariablesInternes[FP Commune])</f>
        <v>0</v>
      </c>
      <c r="G52" s="157">
        <f t="shared" si="1"/>
        <v>0</v>
      </c>
      <c r="H52" s="99"/>
      <c r="I52" s="99"/>
      <c r="J52" s="99"/>
      <c r="K52" s="100"/>
      <c r="O52" s="574"/>
      <c r="P52" s="58" t="s">
        <v>103</v>
      </c>
      <c r="Q52" s="53">
        <f>SUMIFS(SalCommune[Total éligible],SalCommune[Allocations fonctions],Overhead6[[#This Row],[Fonction]],SalCommune[Frais généraux],Overhead6[[#Headers],[Frais directement liés à l''activité - Encadrement]])</f>
        <v>0</v>
      </c>
      <c r="R52" s="53">
        <f>SUMIFS(SalCommune[Total éligible],SalCommune[Allocations fonctions],Overhead6[[#This Row],[Fonction]],SalCommune[Frais généraux],Overhead6[[#Headers],[Frais directement liés à l''activité - Logistique]])</f>
        <v>0</v>
      </c>
      <c r="S52" s="53">
        <f>SUMIFS(SalCommune[Total éligible],SalCommune[Allocations fonctions],Overhead6[[#This Row],[Fonction]],SalCommune[Frais généraux],Overhead6[[#Headers],[Frais indirectement liés à l''activité - Prévues par la loi ]])</f>
        <v>0</v>
      </c>
      <c r="T52" s="53">
        <f>SUMIFS(SalCommune[Total éligible],SalCommune[Allocations fonctions],Overhead6[[#This Row],[Fonction]],SalCommune[Frais généraux],Overhead6[[#Headers],[Frais indirectement liés à l''activité - Autres fonctions - Administration / Logistique]])</f>
        <v>0</v>
      </c>
      <c r="U52" s="53">
        <f>SUMIFS(SalCommune[Total éligible],SalCommune[Allocations fonctions],Overhead6[[#This Row],[Fonction]],SalCommune[Frais généraux],Overhead6[[#Headers],[Frais indirectement liés à l''activité - Autres fonctions - Chargé(e) de direction]])</f>
        <v>0</v>
      </c>
      <c r="V52" s="54">
        <f>SUMIFS(SalCommune[Total éligible],SalCommune[Allocations fonctions],Overhead6[[#This Row],[Fonction]],SalCommune[Frais généraux],Overhead6[[#Headers],[Frais indirectement liés à l''activité - Autres fonctions - Direction générale]])</f>
        <v>0</v>
      </c>
    </row>
    <row r="53" spans="2:22" x14ac:dyDescent="0.25">
      <c r="B53" s="152" t="s">
        <v>109</v>
      </c>
      <c r="C53" s="153">
        <f>SUMIF(VariablesInternes[Fonction],B53,VariablesInternes[FF])</f>
        <v>0</v>
      </c>
      <c r="D53" s="153"/>
      <c r="E53" s="153">
        <f>SUMIF(VariablesInternes[Fonction],B53,VariablesInternes[FP SAS])</f>
        <v>0</v>
      </c>
      <c r="F53" s="153">
        <f>SUMIF(VariablesInternes[Fonction],B53,VariablesInternes[FP Commune])</f>
        <v>0</v>
      </c>
      <c r="G53" s="157">
        <f t="shared" si="1"/>
        <v>0</v>
      </c>
      <c r="H53" s="99"/>
      <c r="I53" s="99"/>
      <c r="J53" s="99"/>
      <c r="K53" s="100"/>
      <c r="O53" s="574"/>
      <c r="P53" s="58" t="s">
        <v>117</v>
      </c>
      <c r="Q53" s="53">
        <f>SUMIFS(SalCommune[Total éligible],SalCommune[Allocations fonctions],Overhead6[[#This Row],[Fonction]],SalCommune[Frais généraux],Overhead6[[#Headers],[Frais directement liés à l''activité - Encadrement]])</f>
        <v>0</v>
      </c>
      <c r="R53" s="53">
        <f>SUMIFS(SalCommune[Total éligible],SalCommune[Allocations fonctions],Overhead6[[#This Row],[Fonction]],SalCommune[Frais généraux],Overhead6[[#Headers],[Frais directement liés à l''activité - Logistique]])</f>
        <v>0</v>
      </c>
      <c r="S53" s="53">
        <f>SUMIFS(SalCommune[Total éligible],SalCommune[Allocations fonctions],Overhead6[[#This Row],[Fonction]],SalCommune[Frais généraux],Overhead6[[#Headers],[Frais indirectement liés à l''activité - Prévues par la loi ]])</f>
        <v>0</v>
      </c>
      <c r="T53" s="53">
        <f>SUMIFS(SalCommune[Total éligible],SalCommune[Allocations fonctions],Overhead6[[#This Row],[Fonction]],SalCommune[Frais généraux],Overhead6[[#Headers],[Frais indirectement liés à l''activité - Autres fonctions - Administration / Logistique]])</f>
        <v>0</v>
      </c>
      <c r="U53" s="53">
        <f>SUMIFS(SalCommune[Total éligible],SalCommune[Allocations fonctions],Overhead6[[#This Row],[Fonction]],SalCommune[Frais généraux],Overhead6[[#Headers],[Frais indirectement liés à l''activité - Autres fonctions - Chargé(e) de direction]])</f>
        <v>0</v>
      </c>
      <c r="V53" s="54">
        <f>SUMIFS(SalCommune[Total éligible],SalCommune[Allocations fonctions],Overhead6[[#This Row],[Fonction]],SalCommune[Frais généraux],Overhead6[[#Headers],[Frais indirectement liés à l''activité - Autres fonctions - Direction générale]])</f>
        <v>0</v>
      </c>
    </row>
    <row r="54" spans="2:22" x14ac:dyDescent="0.25">
      <c r="B54" s="152" t="s">
        <v>110</v>
      </c>
      <c r="C54" s="153">
        <f>SUMIF(VariablesInternes[Fonction],B54,VariablesInternes[FF])</f>
        <v>0</v>
      </c>
      <c r="D54" s="153"/>
      <c r="E54" s="153">
        <f>SUMIF(VariablesInternes[Fonction],B54,VariablesInternes[FP SAS])</f>
        <v>0</v>
      </c>
      <c r="F54" s="153">
        <f>SUMIF(VariablesInternes[Fonction],B54,VariablesInternes[FP Commune])</f>
        <v>0</v>
      </c>
      <c r="G54" s="157">
        <f t="shared" si="1"/>
        <v>0</v>
      </c>
      <c r="H54" s="99"/>
      <c r="I54" s="99"/>
      <c r="J54" s="99"/>
      <c r="K54" s="100"/>
      <c r="O54" s="574"/>
      <c r="P54" s="58" t="s">
        <v>104</v>
      </c>
      <c r="Q54" s="53">
        <f>SUMIFS(SalCommune[Total éligible],SalCommune[Allocations fonctions],Overhead6[[#This Row],[Fonction]],SalCommune[Frais généraux],Overhead6[[#Headers],[Frais directement liés à l''activité - Encadrement]])</f>
        <v>0</v>
      </c>
      <c r="R54" s="53">
        <f>SUMIFS(SalCommune[Total éligible],SalCommune[Allocations fonctions],Overhead6[[#This Row],[Fonction]],SalCommune[Frais généraux],Overhead6[[#Headers],[Frais directement liés à l''activité - Logistique]])</f>
        <v>0</v>
      </c>
      <c r="S54" s="53">
        <f>SUMIFS(SalCommune[Total éligible],SalCommune[Allocations fonctions],Overhead6[[#This Row],[Fonction]],SalCommune[Frais généraux],Overhead6[[#Headers],[Frais indirectement liés à l''activité - Prévues par la loi ]])</f>
        <v>0</v>
      </c>
      <c r="T54" s="53">
        <f>SUMIFS(SalCommune[Total éligible],SalCommune[Allocations fonctions],Overhead6[[#This Row],[Fonction]],SalCommune[Frais généraux],Overhead6[[#Headers],[Frais indirectement liés à l''activité - Autres fonctions - Administration / Logistique]])</f>
        <v>0</v>
      </c>
      <c r="U54" s="53">
        <f>SUMIFS(SalCommune[Total éligible],SalCommune[Allocations fonctions],Overhead6[[#This Row],[Fonction]],SalCommune[Frais généraux],Overhead6[[#Headers],[Frais indirectement liés à l''activité - Autres fonctions - Chargé(e) de direction]])</f>
        <v>0</v>
      </c>
      <c r="V54" s="54">
        <f>SUMIFS(SalCommune[Total éligible],SalCommune[Allocations fonctions],Overhead6[[#This Row],[Fonction]],SalCommune[Frais généraux],Overhead6[[#Headers],[Frais indirectement liés à l''activité - Autres fonctions - Direction générale]])</f>
        <v>0</v>
      </c>
    </row>
    <row r="55" spans="2:22" x14ac:dyDescent="0.25">
      <c r="B55" s="152" t="s">
        <v>111</v>
      </c>
      <c r="C55" s="153">
        <f>SUMIF(VariablesInternes[Fonction],B55,VariablesInternes[FF])</f>
        <v>0</v>
      </c>
      <c r="D55" s="153"/>
      <c r="E55" s="153">
        <f>SUMIF(VariablesInternes[Fonction],B55,VariablesInternes[FP SAS])</f>
        <v>0</v>
      </c>
      <c r="F55" s="153">
        <f>SUMIF(VariablesInternes[Fonction],B55,VariablesInternes[FP Commune])</f>
        <v>0</v>
      </c>
      <c r="G55" s="157">
        <f t="shared" si="1"/>
        <v>0</v>
      </c>
      <c r="H55" s="99"/>
      <c r="I55" s="99"/>
      <c r="J55" s="99"/>
      <c r="K55" s="100"/>
      <c r="O55" s="574"/>
      <c r="P55" s="58" t="s">
        <v>105</v>
      </c>
      <c r="Q55" s="53">
        <f>SUMIFS(SalCommune[Total éligible],SalCommune[Allocations fonctions],Overhead6[[#This Row],[Fonction]],SalCommune[Frais généraux],Overhead6[[#Headers],[Frais directement liés à l''activité - Encadrement]])</f>
        <v>0</v>
      </c>
      <c r="R55" s="53">
        <f>SUMIFS(SalCommune[Total éligible],SalCommune[Allocations fonctions],Overhead6[[#This Row],[Fonction]],SalCommune[Frais généraux],Overhead6[[#Headers],[Frais directement liés à l''activité - Logistique]])</f>
        <v>0</v>
      </c>
      <c r="S55" s="53">
        <f>SUMIFS(SalCommune[Total éligible],SalCommune[Allocations fonctions],Overhead6[[#This Row],[Fonction]],SalCommune[Frais généraux],Overhead6[[#Headers],[Frais indirectement liés à l''activité - Prévues par la loi ]])</f>
        <v>0</v>
      </c>
      <c r="T55" s="53">
        <f>SUMIFS(SalCommune[Total éligible],SalCommune[Allocations fonctions],Overhead6[[#This Row],[Fonction]],SalCommune[Frais généraux],Overhead6[[#Headers],[Frais indirectement liés à l''activité - Autres fonctions - Administration / Logistique]])</f>
        <v>0</v>
      </c>
      <c r="U55" s="53">
        <f>SUMIFS(SalCommune[Total éligible],SalCommune[Allocations fonctions],Overhead6[[#This Row],[Fonction]],SalCommune[Frais généraux],Overhead6[[#Headers],[Frais indirectement liés à l''activité - Autres fonctions - Chargé(e) de direction]])</f>
        <v>0</v>
      </c>
      <c r="V55" s="54">
        <f>SUMIFS(SalCommune[Total éligible],SalCommune[Allocations fonctions],Overhead6[[#This Row],[Fonction]],SalCommune[Frais généraux],Overhead6[[#Headers],[Frais indirectement liés à l''activité - Autres fonctions - Direction générale]])</f>
        <v>0</v>
      </c>
    </row>
    <row r="56" spans="2:22" x14ac:dyDescent="0.25">
      <c r="B56" s="152" t="s">
        <v>112</v>
      </c>
      <c r="C56" s="153">
        <f>SUMIF(VariablesInternes[Fonction],B56,VariablesInternes[FF])</f>
        <v>0</v>
      </c>
      <c r="D56" s="153"/>
      <c r="E56" s="153">
        <f>SUMIF(VariablesInternes[Fonction],B56,VariablesInternes[FP SAS])</f>
        <v>0</v>
      </c>
      <c r="F56" s="153">
        <f>SUMIF(VariablesInternes[Fonction],B56,VariablesInternes[FP Commune])</f>
        <v>0</v>
      </c>
      <c r="G56" s="157">
        <f t="shared" si="1"/>
        <v>0</v>
      </c>
      <c r="H56" s="99"/>
      <c r="I56" s="99"/>
      <c r="J56" s="99"/>
      <c r="K56" s="100"/>
      <c r="O56" s="574"/>
      <c r="P56" s="58" t="s">
        <v>106</v>
      </c>
      <c r="Q56" s="53">
        <f>SUMIFS(SalCommune[Total éligible],SalCommune[Allocations fonctions],Overhead6[[#This Row],[Fonction]],SalCommune[Frais généraux],Overhead6[[#Headers],[Frais directement liés à l''activité - Encadrement]])</f>
        <v>0</v>
      </c>
      <c r="R56" s="53">
        <f>SUMIFS(SalCommune[Total éligible],SalCommune[Allocations fonctions],Overhead6[[#This Row],[Fonction]],SalCommune[Frais généraux],Overhead6[[#Headers],[Frais directement liés à l''activité - Logistique]])</f>
        <v>0</v>
      </c>
      <c r="S56" s="53">
        <f>SUMIFS(SalCommune[Total éligible],SalCommune[Allocations fonctions],Overhead6[[#This Row],[Fonction]],SalCommune[Frais généraux],Overhead6[[#Headers],[Frais indirectement liés à l''activité - Prévues par la loi ]])</f>
        <v>0</v>
      </c>
      <c r="T56" s="53">
        <f>SUMIFS(SalCommune[Total éligible],SalCommune[Allocations fonctions],Overhead6[[#This Row],[Fonction]],SalCommune[Frais généraux],Overhead6[[#Headers],[Frais indirectement liés à l''activité - Autres fonctions - Administration / Logistique]])</f>
        <v>0</v>
      </c>
      <c r="U56" s="53">
        <f>SUMIFS(SalCommune[Total éligible],SalCommune[Allocations fonctions],Overhead6[[#This Row],[Fonction]],SalCommune[Frais généraux],Overhead6[[#Headers],[Frais indirectement liés à l''activité - Autres fonctions - Chargé(e) de direction]])</f>
        <v>0</v>
      </c>
      <c r="V56" s="54">
        <f>SUMIFS(SalCommune[Total éligible],SalCommune[Allocations fonctions],Overhead6[[#This Row],[Fonction]],SalCommune[Frais généraux],Overhead6[[#Headers],[Frais indirectement liés à l''activité - Autres fonctions - Direction générale]])</f>
        <v>0</v>
      </c>
    </row>
    <row r="57" spans="2:22" x14ac:dyDescent="0.25">
      <c r="B57" s="152" t="s">
        <v>113</v>
      </c>
      <c r="C57" s="153">
        <f>SUMIF(VariablesInternes[Fonction],B57,VariablesInternes[FF])</f>
        <v>0</v>
      </c>
      <c r="D57" s="153"/>
      <c r="E57" s="153">
        <f>SUMIF(VariablesInternes[Fonction],B57,VariablesInternes[FP SAS])</f>
        <v>0</v>
      </c>
      <c r="F57" s="153">
        <f>SUMIF(VariablesInternes[Fonction],B57,VariablesInternes[FP Commune])</f>
        <v>0</v>
      </c>
      <c r="G57" s="157">
        <f t="shared" si="1"/>
        <v>0</v>
      </c>
      <c r="H57" s="99"/>
      <c r="I57" s="99"/>
      <c r="J57" s="99"/>
      <c r="K57" s="100"/>
      <c r="O57" s="574"/>
      <c r="P57" s="58" t="s">
        <v>107</v>
      </c>
      <c r="Q57" s="53">
        <f>SUMIFS(SalCommune[Total éligible],SalCommune[Allocations fonctions],Overhead6[[#This Row],[Fonction]],SalCommune[Frais généraux],Overhead6[[#Headers],[Frais directement liés à l''activité - Encadrement]])</f>
        <v>0</v>
      </c>
      <c r="R57" s="53">
        <f>SUMIFS(SalCommune[Total éligible],SalCommune[Allocations fonctions],Overhead6[[#This Row],[Fonction]],SalCommune[Frais généraux],Overhead6[[#Headers],[Frais directement liés à l''activité - Logistique]])</f>
        <v>0</v>
      </c>
      <c r="S57" s="53">
        <f>SUMIFS(SalCommune[Total éligible],SalCommune[Allocations fonctions],Overhead6[[#This Row],[Fonction]],SalCommune[Frais généraux],Overhead6[[#Headers],[Frais indirectement liés à l''activité - Prévues par la loi ]])</f>
        <v>0</v>
      </c>
      <c r="T57" s="53">
        <f>SUMIFS(SalCommune[Total éligible],SalCommune[Allocations fonctions],Overhead6[[#This Row],[Fonction]],SalCommune[Frais généraux],Overhead6[[#Headers],[Frais indirectement liés à l''activité - Autres fonctions - Administration / Logistique]])</f>
        <v>0</v>
      </c>
      <c r="U57" s="53">
        <f>SUMIFS(SalCommune[Total éligible],SalCommune[Allocations fonctions],Overhead6[[#This Row],[Fonction]],SalCommune[Frais généraux],Overhead6[[#Headers],[Frais indirectement liés à l''activité - Autres fonctions - Chargé(e) de direction]])</f>
        <v>0</v>
      </c>
      <c r="V57" s="54">
        <f>SUMIFS(SalCommune[Total éligible],SalCommune[Allocations fonctions],Overhead6[[#This Row],[Fonction]],SalCommune[Frais généraux],Overhead6[[#Headers],[Frais indirectement liés à l''activité - Autres fonctions - Direction générale]])</f>
        <v>0</v>
      </c>
    </row>
    <row r="58" spans="2:22" x14ac:dyDescent="0.25">
      <c r="B58" s="152" t="s">
        <v>114</v>
      </c>
      <c r="C58" s="153">
        <f>SUMIF(VariablesInternes[Fonction],B58,VariablesInternes[FF])</f>
        <v>0</v>
      </c>
      <c r="D58" s="153"/>
      <c r="E58" s="153">
        <f>SUMIF(VariablesInternes[Fonction],B58,VariablesInternes[FP SAS])</f>
        <v>0</v>
      </c>
      <c r="F58" s="153">
        <f>SUMIF(VariablesInternes[Fonction],B58,VariablesInternes[FP Commune])</f>
        <v>0</v>
      </c>
      <c r="G58" s="157">
        <f t="shared" si="1"/>
        <v>0</v>
      </c>
      <c r="H58" s="99"/>
      <c r="I58" s="99"/>
      <c r="J58" s="99"/>
      <c r="K58" s="100"/>
      <c r="O58" s="574"/>
      <c r="P58" s="58" t="s">
        <v>108</v>
      </c>
      <c r="Q58" s="53">
        <f>SUMIFS(SalCommune[Total éligible],SalCommune[Allocations fonctions],Overhead6[[#This Row],[Fonction]],SalCommune[Frais généraux],Overhead6[[#Headers],[Frais directement liés à l''activité - Encadrement]])</f>
        <v>0</v>
      </c>
      <c r="R58" s="53">
        <f>SUMIFS(SalCommune[Total éligible],SalCommune[Allocations fonctions],Overhead6[[#This Row],[Fonction]],SalCommune[Frais généraux],Overhead6[[#Headers],[Frais directement liés à l''activité - Logistique]])</f>
        <v>0</v>
      </c>
      <c r="S58" s="53">
        <f>SUMIFS(SalCommune[Total éligible],SalCommune[Allocations fonctions],Overhead6[[#This Row],[Fonction]],SalCommune[Frais généraux],Overhead6[[#Headers],[Frais indirectement liés à l''activité - Prévues par la loi ]])</f>
        <v>0</v>
      </c>
      <c r="T58" s="53">
        <f>SUMIFS(SalCommune[Total éligible],SalCommune[Allocations fonctions],Overhead6[[#This Row],[Fonction]],SalCommune[Frais généraux],Overhead6[[#Headers],[Frais indirectement liés à l''activité - Autres fonctions - Administration / Logistique]])</f>
        <v>0</v>
      </c>
      <c r="U58" s="53">
        <f>SUMIFS(SalCommune[Total éligible],SalCommune[Allocations fonctions],Overhead6[[#This Row],[Fonction]],SalCommune[Frais généraux],Overhead6[[#Headers],[Frais indirectement liés à l''activité - Autres fonctions - Chargé(e) de direction]])</f>
        <v>0</v>
      </c>
      <c r="V58" s="54">
        <f>SUMIFS(SalCommune[Total éligible],SalCommune[Allocations fonctions],Overhead6[[#This Row],[Fonction]],SalCommune[Frais généraux],Overhead6[[#Headers],[Frais indirectement liés à l''activité - Autres fonctions - Direction générale]])</f>
        <v>0</v>
      </c>
    </row>
    <row r="59" spans="2:22" x14ac:dyDescent="0.25">
      <c r="B59" s="152" t="s">
        <v>115</v>
      </c>
      <c r="C59" s="153">
        <f>SUMIF(VariablesInternes[Fonction],B59,VariablesInternes[FF])</f>
        <v>0</v>
      </c>
      <c r="D59" s="153"/>
      <c r="E59" s="153">
        <f>SUMIF(VariablesInternes[Fonction],B59,VariablesInternes[FP SAS])</f>
        <v>0</v>
      </c>
      <c r="F59" s="153">
        <f>SUMIF(VariablesInternes[Fonction],B59,VariablesInternes[FP Commune])</f>
        <v>0</v>
      </c>
      <c r="G59" s="157">
        <f t="shared" si="1"/>
        <v>0</v>
      </c>
      <c r="H59" s="99"/>
      <c r="I59" s="99"/>
      <c r="J59" s="99"/>
      <c r="K59" s="100"/>
      <c r="O59" s="574"/>
      <c r="P59" s="58" t="s">
        <v>109</v>
      </c>
      <c r="Q59" s="53">
        <f>SUMIFS(SalCommune[Total éligible],SalCommune[Allocations fonctions],Overhead6[[#This Row],[Fonction]],SalCommune[Frais généraux],Overhead6[[#Headers],[Frais directement liés à l''activité - Encadrement]])</f>
        <v>0</v>
      </c>
      <c r="R59" s="53">
        <f>SUMIFS(SalCommune[Total éligible],SalCommune[Allocations fonctions],Overhead6[[#This Row],[Fonction]],SalCommune[Frais généraux],Overhead6[[#Headers],[Frais directement liés à l''activité - Logistique]])</f>
        <v>0</v>
      </c>
      <c r="S59" s="53">
        <f>SUMIFS(SalCommune[Total éligible],SalCommune[Allocations fonctions],Overhead6[[#This Row],[Fonction]],SalCommune[Frais généraux],Overhead6[[#Headers],[Frais indirectement liés à l''activité - Prévues par la loi ]])</f>
        <v>0</v>
      </c>
      <c r="T59" s="53">
        <f>SUMIFS(SalCommune[Total éligible],SalCommune[Allocations fonctions],Overhead6[[#This Row],[Fonction]],SalCommune[Frais généraux],Overhead6[[#Headers],[Frais indirectement liés à l''activité - Autres fonctions - Administration / Logistique]])</f>
        <v>0</v>
      </c>
      <c r="U59" s="53">
        <f>SUMIFS(SalCommune[Total éligible],SalCommune[Allocations fonctions],Overhead6[[#This Row],[Fonction]],SalCommune[Frais généraux],Overhead6[[#Headers],[Frais indirectement liés à l''activité - Autres fonctions - Chargé(e) de direction]])</f>
        <v>0</v>
      </c>
      <c r="V59" s="54">
        <f>SUMIFS(SalCommune[Total éligible],SalCommune[Allocations fonctions],Overhead6[[#This Row],[Fonction]],SalCommune[Frais généraux],Overhead6[[#Headers],[Frais indirectement liés à l''activité - Autres fonctions - Direction générale]])</f>
        <v>0</v>
      </c>
    </row>
    <row r="60" spans="2:22" x14ac:dyDescent="0.25">
      <c r="B60" s="154" t="s">
        <v>116</v>
      </c>
      <c r="C60" s="155">
        <f>SUMIF(VariablesInternes[Fonction],B60,VariablesInternes[FF])</f>
        <v>0</v>
      </c>
      <c r="D60" s="155"/>
      <c r="E60" s="155">
        <f>SUMIF(VariablesInternes[Fonction],B60,VariablesInternes[FP SAS])</f>
        <v>0</v>
      </c>
      <c r="F60" s="155">
        <f>SUMIF(VariablesInternes[Fonction],B60,VariablesInternes[FP Commune])</f>
        <v>0</v>
      </c>
      <c r="G60" s="158">
        <f t="shared" si="1"/>
        <v>0</v>
      </c>
      <c r="H60" s="99"/>
      <c r="I60" s="99"/>
      <c r="J60" s="99"/>
      <c r="K60" s="100"/>
      <c r="O60" s="574"/>
      <c r="P60" s="58" t="s">
        <v>110</v>
      </c>
      <c r="Q60" s="53">
        <f>SUMIFS(SalCommune[Total éligible],SalCommune[Allocations fonctions],Overhead6[[#This Row],[Fonction]],SalCommune[Frais généraux],Overhead6[[#Headers],[Frais directement liés à l''activité - Encadrement]])</f>
        <v>0</v>
      </c>
      <c r="R60" s="53">
        <f>SUMIFS(SalCommune[Total éligible],SalCommune[Allocations fonctions],Overhead6[[#This Row],[Fonction]],SalCommune[Frais généraux],Overhead6[[#Headers],[Frais directement liés à l''activité - Logistique]])</f>
        <v>0</v>
      </c>
      <c r="S60" s="53">
        <f>SUMIFS(SalCommune[Total éligible],SalCommune[Allocations fonctions],Overhead6[[#This Row],[Fonction]],SalCommune[Frais généraux],Overhead6[[#Headers],[Frais indirectement liés à l''activité - Prévues par la loi ]])</f>
        <v>0</v>
      </c>
      <c r="T60" s="53">
        <f>SUMIFS(SalCommune[Total éligible],SalCommune[Allocations fonctions],Overhead6[[#This Row],[Fonction]],SalCommune[Frais généraux],Overhead6[[#Headers],[Frais indirectement liés à l''activité - Autres fonctions - Administration / Logistique]])</f>
        <v>0</v>
      </c>
      <c r="U60" s="53">
        <f>SUMIFS(SalCommune[Total éligible],SalCommune[Allocations fonctions],Overhead6[[#This Row],[Fonction]],SalCommune[Frais généraux],Overhead6[[#Headers],[Frais indirectement liés à l''activité - Autres fonctions - Chargé(e) de direction]])</f>
        <v>0</v>
      </c>
      <c r="V60" s="54">
        <f>SUMIFS(SalCommune[Total éligible],SalCommune[Allocations fonctions],Overhead6[[#This Row],[Fonction]],SalCommune[Frais généraux],Overhead6[[#Headers],[Frais indirectement liés à l''activité - Autres fonctions - Direction générale]])</f>
        <v>0</v>
      </c>
    </row>
    <row r="61" spans="2:22" x14ac:dyDescent="0.25">
      <c r="B61" s="145" t="s">
        <v>464</v>
      </c>
      <c r="C61" s="143">
        <f>SUM(C42:C60)</f>
        <v>0</v>
      </c>
      <c r="D61" s="143"/>
      <c r="E61" s="143">
        <f t="shared" ref="E61:G61" si="2">SUM(E42:E60)</f>
        <v>0</v>
      </c>
      <c r="F61" s="143">
        <f t="shared" si="2"/>
        <v>0</v>
      </c>
      <c r="G61" s="144">
        <f t="shared" si="2"/>
        <v>0</v>
      </c>
      <c r="H61" s="79"/>
      <c r="I61" s="79"/>
      <c r="J61" s="79"/>
      <c r="K61" s="102"/>
      <c r="O61" s="574"/>
      <c r="P61" s="58" t="s">
        <v>111</v>
      </c>
      <c r="Q61" s="53">
        <f>SUMIFS(SalCommune[Total éligible],SalCommune[Allocations fonctions],Overhead6[[#This Row],[Fonction]],SalCommune[Frais généraux],Overhead6[[#Headers],[Frais directement liés à l''activité - Encadrement]])</f>
        <v>0</v>
      </c>
      <c r="R61" s="53">
        <f>SUMIFS(SalCommune[Total éligible],SalCommune[Allocations fonctions],Overhead6[[#This Row],[Fonction]],SalCommune[Frais généraux],Overhead6[[#Headers],[Frais directement liés à l''activité - Logistique]])</f>
        <v>0</v>
      </c>
      <c r="S61" s="53">
        <f>SUMIFS(SalCommune[Total éligible],SalCommune[Allocations fonctions],Overhead6[[#This Row],[Fonction]],SalCommune[Frais généraux],Overhead6[[#Headers],[Frais indirectement liés à l''activité - Prévues par la loi ]])</f>
        <v>0</v>
      </c>
      <c r="T61" s="53">
        <f>SUMIFS(SalCommune[Total éligible],SalCommune[Allocations fonctions],Overhead6[[#This Row],[Fonction]],SalCommune[Frais généraux],Overhead6[[#Headers],[Frais indirectement liés à l''activité - Autres fonctions - Administration / Logistique]])</f>
        <v>0</v>
      </c>
      <c r="U61" s="53">
        <f>SUMIFS(SalCommune[Total éligible],SalCommune[Allocations fonctions],Overhead6[[#This Row],[Fonction]],SalCommune[Frais généraux],Overhead6[[#Headers],[Frais indirectement liés à l''activité - Autres fonctions - Chargé(e) de direction]])</f>
        <v>0</v>
      </c>
      <c r="V61" s="54">
        <f>SUMIFS(SalCommune[Total éligible],SalCommune[Allocations fonctions],Overhead6[[#This Row],[Fonction]],SalCommune[Frais généraux],Overhead6[[#Headers],[Frais indirectement liés à l''activité - Autres fonctions - Direction générale]])</f>
        <v>0</v>
      </c>
    </row>
    <row r="62" spans="2:22" x14ac:dyDescent="0.25">
      <c r="B62" s="142" t="s">
        <v>474</v>
      </c>
      <c r="C62" s="159"/>
      <c r="D62" s="159"/>
      <c r="E62" s="159"/>
      <c r="F62" s="159"/>
      <c r="G62" s="159"/>
      <c r="H62" s="159"/>
      <c r="I62" s="159"/>
      <c r="J62" s="159"/>
      <c r="K62" s="147"/>
      <c r="O62" s="574"/>
      <c r="P62" s="58" t="s">
        <v>112</v>
      </c>
      <c r="Q62" s="53">
        <f>SUMIFS(SalCommune[Total éligible],SalCommune[Allocations fonctions],Overhead6[[#This Row],[Fonction]],SalCommune[Frais généraux],Overhead6[[#Headers],[Frais directement liés à l''activité - Encadrement]])</f>
        <v>0</v>
      </c>
      <c r="R62" s="53">
        <f>SUMIFS(SalCommune[Total éligible],SalCommune[Allocations fonctions],Overhead6[[#This Row],[Fonction]],SalCommune[Frais généraux],Overhead6[[#Headers],[Frais directement liés à l''activité - Logistique]])</f>
        <v>0</v>
      </c>
      <c r="S62" s="53">
        <f>SUMIFS(SalCommune[Total éligible],SalCommune[Allocations fonctions],Overhead6[[#This Row],[Fonction]],SalCommune[Frais généraux],Overhead6[[#Headers],[Frais indirectement liés à l''activité - Prévues par la loi ]])</f>
        <v>0</v>
      </c>
      <c r="T62" s="53">
        <f>SUMIFS(SalCommune[Total éligible],SalCommune[Allocations fonctions],Overhead6[[#This Row],[Fonction]],SalCommune[Frais généraux],Overhead6[[#Headers],[Frais indirectement liés à l''activité - Autres fonctions - Administration / Logistique]])</f>
        <v>0</v>
      </c>
      <c r="U62" s="53">
        <f>SUMIFS(SalCommune[Total éligible],SalCommune[Allocations fonctions],Overhead6[[#This Row],[Fonction]],SalCommune[Frais généraux],Overhead6[[#Headers],[Frais indirectement liés à l''activité - Autres fonctions - Chargé(e) de direction]])</f>
        <v>0</v>
      </c>
      <c r="V62" s="54">
        <f>SUMIFS(SalCommune[Total éligible],SalCommune[Allocations fonctions],Overhead6[[#This Row],[Fonction]],SalCommune[Frais généraux],Overhead6[[#Headers],[Frais indirectement liés à l''activité - Autres fonctions - Direction générale]])</f>
        <v>0</v>
      </c>
    </row>
    <row r="63" spans="2:22" x14ac:dyDescent="0.25">
      <c r="B63" s="117" t="s">
        <v>475</v>
      </c>
      <c r="C63" s="131">
        <f>IF(F23&lt;F26,F26*6,F23*6)</f>
        <v>0</v>
      </c>
      <c r="D63" s="99"/>
      <c r="E63" s="95" t="s">
        <v>483</v>
      </c>
      <c r="F63" s="126">
        <f>IF(F24&lt;F27,F27,F24)</f>
        <v>0</v>
      </c>
      <c r="G63" s="95" t="s">
        <v>484</v>
      </c>
      <c r="H63" s="110">
        <f>K29</f>
        <v>0</v>
      </c>
      <c r="I63" s="96"/>
      <c r="J63" s="127" t="s">
        <v>493</v>
      </c>
      <c r="K63" s="168">
        <f>K32</f>
        <v>0</v>
      </c>
      <c r="O63" s="574"/>
      <c r="P63" s="58" t="s">
        <v>113</v>
      </c>
      <c r="Q63" s="53">
        <f>SUMIFS(SalCommune[Total éligible],SalCommune[Allocations fonctions],Overhead6[[#This Row],[Fonction]],SalCommune[Frais généraux],Overhead6[[#Headers],[Frais directement liés à l''activité - Encadrement]])</f>
        <v>0</v>
      </c>
      <c r="R63" s="53">
        <f>SUMIFS(SalCommune[Total éligible],SalCommune[Allocations fonctions],Overhead6[[#This Row],[Fonction]],SalCommune[Frais généraux],Overhead6[[#Headers],[Frais directement liés à l''activité - Logistique]])</f>
        <v>0</v>
      </c>
      <c r="S63" s="53">
        <f>SUMIFS(SalCommune[Total éligible],SalCommune[Allocations fonctions],Overhead6[[#This Row],[Fonction]],SalCommune[Frais généraux],Overhead6[[#Headers],[Frais indirectement liés à l''activité - Prévues par la loi ]])</f>
        <v>0</v>
      </c>
      <c r="T63" s="53">
        <f>SUMIFS(SalCommune[Total éligible],SalCommune[Allocations fonctions],Overhead6[[#This Row],[Fonction]],SalCommune[Frais généraux],Overhead6[[#Headers],[Frais indirectement liés à l''activité - Autres fonctions - Administration / Logistique]])</f>
        <v>0</v>
      </c>
      <c r="U63" s="53">
        <f>SUMIFS(SalCommune[Total éligible],SalCommune[Allocations fonctions],Overhead6[[#This Row],[Fonction]],SalCommune[Frais généraux],Overhead6[[#Headers],[Frais indirectement liés à l''activité - Autres fonctions - Chargé(e) de direction]])</f>
        <v>0</v>
      </c>
      <c r="V63" s="54">
        <f>SUMIFS(SalCommune[Total éligible],SalCommune[Allocations fonctions],Overhead6[[#This Row],[Fonction]],SalCommune[Frais généraux],Overhead6[[#Headers],[Frais indirectement liés à l''activité - Autres fonctions - Direction générale]])</f>
        <v>0</v>
      </c>
    </row>
    <row r="64" spans="2:22" x14ac:dyDescent="0.25">
      <c r="B64" s="98" t="s">
        <v>476</v>
      </c>
      <c r="C64" s="161">
        <f>C61-C60</f>
        <v>0</v>
      </c>
      <c r="D64" s="99"/>
      <c r="E64" s="98" t="s">
        <v>455</v>
      </c>
      <c r="F64" s="125">
        <f>K23</f>
        <v>0</v>
      </c>
      <c r="G64" s="98" t="s">
        <v>485</v>
      </c>
      <c r="H64" s="112">
        <f>K30</f>
        <v>0</v>
      </c>
      <c r="I64" s="99"/>
      <c r="J64" s="99" t="s">
        <v>494</v>
      </c>
      <c r="K64" s="160">
        <f>C60</f>
        <v>0</v>
      </c>
      <c r="O64" s="574"/>
      <c r="P64" s="58" t="s">
        <v>114</v>
      </c>
      <c r="Q64" s="53">
        <f>SUMIFS(SalCommune[Total éligible],SalCommune[Allocations fonctions],Overhead6[[#This Row],[Fonction]],SalCommune[Frais généraux],Overhead6[[#Headers],[Frais directement liés à l''activité - Encadrement]])</f>
        <v>0</v>
      </c>
      <c r="R64" s="53">
        <f>SUMIFS(SalCommune[Total éligible],SalCommune[Allocations fonctions],Overhead6[[#This Row],[Fonction]],SalCommune[Frais généraux],Overhead6[[#Headers],[Frais directement liés à l''activité - Logistique]])</f>
        <v>0</v>
      </c>
      <c r="S64" s="53">
        <f>SUMIFS(SalCommune[Total éligible],SalCommune[Allocations fonctions],Overhead6[[#This Row],[Fonction]],SalCommune[Frais généraux],Overhead6[[#Headers],[Frais indirectement liés à l''activité - Prévues par la loi ]])</f>
        <v>0</v>
      </c>
      <c r="T64" s="53">
        <f>SUMIFS(SalCommune[Total éligible],SalCommune[Allocations fonctions],Overhead6[[#This Row],[Fonction]],SalCommune[Frais généraux],Overhead6[[#Headers],[Frais indirectement liés à l''activité - Autres fonctions - Administration / Logistique]])</f>
        <v>0</v>
      </c>
      <c r="U64" s="53">
        <f>SUMIFS(SalCommune[Total éligible],SalCommune[Allocations fonctions],Overhead6[[#This Row],[Fonction]],SalCommune[Frais généraux],Overhead6[[#Headers],[Frais indirectement liés à l''activité - Autres fonctions - Chargé(e) de direction]])</f>
        <v>0</v>
      </c>
      <c r="V64" s="54">
        <f>SUMIFS(SalCommune[Total éligible],SalCommune[Allocations fonctions],Overhead6[[#This Row],[Fonction]],SalCommune[Frais généraux],Overhead6[[#Headers],[Frais indirectement liés à l''activité - Autres fonctions - Direction générale]])</f>
        <v>0</v>
      </c>
    </row>
    <row r="65" spans="2:22" x14ac:dyDescent="0.25">
      <c r="B65" s="98" t="s">
        <v>477</v>
      </c>
      <c r="C65" s="161">
        <f>(E61+F61)-E42-F42-E60-F60</f>
        <v>0</v>
      </c>
      <c r="D65" s="99"/>
      <c r="E65" s="98" t="s">
        <v>482</v>
      </c>
      <c r="F65" s="125">
        <f>K25</f>
        <v>0</v>
      </c>
      <c r="G65" s="381" t="s">
        <v>466</v>
      </c>
      <c r="H65" s="131">
        <f>'Information générales 3'!C36</f>
        <v>0</v>
      </c>
      <c r="I65" s="99"/>
      <c r="J65" s="99"/>
      <c r="K65" s="100"/>
      <c r="O65" s="574"/>
      <c r="P65" s="58" t="s">
        <v>115</v>
      </c>
      <c r="Q65" s="53">
        <f>SUMIFS(SalCommune[Total éligible],SalCommune[Allocations fonctions],Overhead6[[#This Row],[Fonction]],SalCommune[Frais généraux],Overhead6[[#Headers],[Frais directement liés à l''activité - Encadrement]])</f>
        <v>0</v>
      </c>
      <c r="R65" s="53">
        <f>SUMIFS(SalCommune[Total éligible],SalCommune[Allocations fonctions],Overhead6[[#This Row],[Fonction]],SalCommune[Frais généraux],Overhead6[[#Headers],[Frais directement liés à l''activité - Logistique]])</f>
        <v>0</v>
      </c>
      <c r="S65" s="53">
        <f>SUMIFS(SalCommune[Total éligible],SalCommune[Allocations fonctions],Overhead6[[#This Row],[Fonction]],SalCommune[Frais généraux],Overhead6[[#Headers],[Frais indirectement liés à l''activité - Prévues par la loi ]])</f>
        <v>0</v>
      </c>
      <c r="T65" s="53">
        <f>SUMIFS(SalCommune[Total éligible],SalCommune[Allocations fonctions],Overhead6[[#This Row],[Fonction]],SalCommune[Frais généraux],Overhead6[[#Headers],[Frais indirectement liés à l''activité - Autres fonctions - Administration / Logistique]])</f>
        <v>0</v>
      </c>
      <c r="U65" s="53">
        <f>SUMIFS(SalCommune[Total éligible],SalCommune[Allocations fonctions],Overhead6[[#This Row],[Fonction]],SalCommune[Frais généraux],Overhead6[[#Headers],[Frais indirectement liés à l''activité - Autres fonctions - Chargé(e) de direction]])</f>
        <v>0</v>
      </c>
      <c r="V65" s="54">
        <f>SUMIFS(SalCommune[Total éligible],SalCommune[Allocations fonctions],Overhead6[[#This Row],[Fonction]],SalCommune[Frais généraux],Overhead6[[#Headers],[Frais indirectement liés à l''activité - Autres fonctions - Direction générale]])</f>
        <v>0</v>
      </c>
    </row>
    <row r="66" spans="2:22" ht="15.75" thickBot="1" x14ac:dyDescent="0.3">
      <c r="B66" s="98" t="s">
        <v>550</v>
      </c>
      <c r="C66" s="161">
        <f>-SUM(C75:C77)</f>
        <v>0</v>
      </c>
      <c r="D66" s="99"/>
      <c r="E66" s="117" t="s">
        <v>492</v>
      </c>
      <c r="F66" s="129">
        <f>SUM(F63:F65)</f>
        <v>0</v>
      </c>
      <c r="G66" s="117" t="s">
        <v>526</v>
      </c>
      <c r="H66" s="131">
        <f>SUM(H63:H65)</f>
        <v>0</v>
      </c>
      <c r="I66" s="99"/>
      <c r="J66" s="99"/>
      <c r="K66" s="100"/>
      <c r="O66" s="575"/>
      <c r="P66" s="58" t="s">
        <v>116</v>
      </c>
      <c r="Q66" s="53">
        <f>SUMIFS(SalCommune[Total éligible],SalCommune[Allocations fonctions],Overhead6[[#This Row],[Fonction]],SalCommune[Frais généraux],Overhead6[[#Headers],[Frais directement liés à l''activité - Encadrement]])</f>
        <v>0</v>
      </c>
      <c r="R66" s="53">
        <f>SUMIFS(SalCommune[Total éligible],SalCommune[Allocations fonctions],Overhead6[[#This Row],[Fonction]],SalCommune[Frais généraux],Overhead6[[#Headers],[Frais directement liés à l''activité - Logistique]])</f>
        <v>0</v>
      </c>
      <c r="S66" s="53">
        <f>SUMIFS(SalCommune[Total éligible],SalCommune[Allocations fonctions],Overhead6[[#This Row],[Fonction]],SalCommune[Frais généraux],Overhead6[[#Headers],[Frais indirectement liés à l''activité - Prévues par la loi ]])</f>
        <v>0</v>
      </c>
      <c r="T66" s="53">
        <f>SUMIFS(SalCommune[Total éligible],SalCommune[Allocations fonctions],Overhead6[[#This Row],[Fonction]],SalCommune[Frais généraux],Overhead6[[#Headers],[Frais indirectement liés à l''activité - Autres fonctions - Administration / Logistique]])</f>
        <v>0</v>
      </c>
      <c r="U66" s="53">
        <f>SUMIFS(SalCommune[Total éligible],SalCommune[Allocations fonctions],Overhead6[[#This Row],[Fonction]],SalCommune[Frais généraux],Overhead6[[#Headers],[Frais indirectement liés à l''activité - Autres fonctions - Chargé(e) de direction]])</f>
        <v>0</v>
      </c>
      <c r="V66" s="54">
        <f>SUMIFS(SalCommune[Total éligible],SalCommune[Allocations fonctions],Overhead6[[#This Row],[Fonction]],SalCommune[Frais généraux],Overhead6[[#Headers],[Frais indirectement liés à l''activité - Autres fonctions - Direction générale]])</f>
        <v>0</v>
      </c>
    </row>
    <row r="67" spans="2:22" x14ac:dyDescent="0.25">
      <c r="B67" s="98" t="s">
        <v>478</v>
      </c>
      <c r="C67" s="161">
        <f>SUM(C64:C66)</f>
        <v>0</v>
      </c>
      <c r="D67" s="99"/>
      <c r="E67" s="98" t="s">
        <v>464</v>
      </c>
      <c r="F67" s="125">
        <f>C36</f>
        <v>0</v>
      </c>
      <c r="G67" s="98" t="s">
        <v>489</v>
      </c>
      <c r="H67" s="112">
        <f>F36</f>
        <v>0</v>
      </c>
      <c r="I67" s="99"/>
      <c r="J67" s="99"/>
      <c r="K67" s="100"/>
      <c r="O67" s="573" t="s">
        <v>423</v>
      </c>
      <c r="P67" s="60" t="s">
        <v>425</v>
      </c>
      <c r="Q67" s="61">
        <f>SUMIFS(Recettes[Montant],Recettes[Fonctions],Overhead6[[#This Row],[Fonction]],Recettes[Frais généraux],Overhead6[[#Headers],[Frais directement liés à l''activité - Encadrement]])</f>
        <v>0</v>
      </c>
      <c r="R67" s="61">
        <f>SUMIFS(Recettes[Montant],Recettes[Fonctions],Overhead6[[#This Row],[Fonction]],Recettes[Frais généraux],Overhead6[[#Headers],[Frais directement liés à l''activité - Logistique]])</f>
        <v>0</v>
      </c>
      <c r="S67" s="61">
        <f>SUMIFS(Recettes[Montant],Recettes[Fonctions],Overhead6[[#This Row],[Fonction]],Recettes[Frais généraux],Overhead6[[#Headers],[Frais indirectement liés à l''activité - Prévues par la loi ]])</f>
        <v>0</v>
      </c>
      <c r="T67" s="61">
        <f>SUMIFS(Recettes[Montant],Recettes[Fonctions],Overhead6[[#This Row],[Fonction]],Recettes[Frais généraux],Overhead6[[#Headers],[Frais indirectement liés à l''activité - Autres fonctions - Administration / Logistique]])</f>
        <v>0</v>
      </c>
      <c r="U67" s="61">
        <f>SUMIFS(Recettes[Montant],Recettes[Fonctions],Overhead6[[#This Row],[Fonction]],Recettes[Frais généraux],Overhead6[[#Headers],[Frais indirectement liés à l''activité - Autres fonctions - Chargé(e) de direction]])</f>
        <v>0</v>
      </c>
      <c r="V67" s="62">
        <f>SUMIFS(Recettes[Montant],Recettes[Fonctions],Overhead6[[#This Row],[Fonction]],Recettes[Frais généraux],Overhead6[[#Headers],[Frais indirectement liés à l''activité - Autres fonctions - Direction générale]])</f>
        <v>0</v>
      </c>
    </row>
    <row r="68" spans="2:22" x14ac:dyDescent="0.25">
      <c r="B68" s="98"/>
      <c r="C68" s="99"/>
      <c r="D68" s="99"/>
      <c r="E68" s="117" t="s">
        <v>480</v>
      </c>
      <c r="F68" s="139">
        <f>IF(F67-F66&lt;0,0,F67-F66)</f>
        <v>0</v>
      </c>
      <c r="G68" s="117" t="s">
        <v>490</v>
      </c>
      <c r="H68" s="162">
        <f>IF(H67-H66&lt;0,0,H67-H66)</f>
        <v>0</v>
      </c>
      <c r="I68" s="99"/>
      <c r="J68" s="108"/>
      <c r="K68" s="140"/>
      <c r="O68" s="574"/>
      <c r="P68" s="58" t="s">
        <v>426</v>
      </c>
      <c r="Q68" s="53">
        <f>SUMIFS(Recettes[Montant],Recettes[Fonctions],Overhead6[[#This Row],[Fonction]],Recettes[Frais généraux],Overhead6[[#Headers],[Frais directement liés à l''activité - Encadrement]])</f>
        <v>0</v>
      </c>
      <c r="R68" s="53">
        <f>SUMIFS(Recettes[Montant],Recettes[Fonctions],Overhead6[[#This Row],[Fonction]],Recettes[Frais généraux],Overhead6[[#Headers],[Frais directement liés à l''activité - Logistique]])</f>
        <v>0</v>
      </c>
      <c r="S68" s="53">
        <f>SUMIFS(Recettes[Montant],Recettes[Fonctions],Overhead6[[#This Row],[Fonction]],Recettes[Frais généraux],Overhead6[[#Headers],[Frais indirectement liés à l''activité - Prévues par la loi ]])</f>
        <v>0</v>
      </c>
      <c r="T68" s="53">
        <f>SUMIFS(Recettes[Montant],Recettes[Fonctions],Overhead6[[#This Row],[Fonction]],Recettes[Frais généraux],Overhead6[[#Headers],[Frais indirectement liés à l''activité - Autres fonctions - Administration / Logistique]])</f>
        <v>0</v>
      </c>
      <c r="U68" s="53">
        <f>SUMIFS(Recettes[Montant],Recettes[Fonctions],Overhead6[[#This Row],[Fonction]],Recettes[Frais généraux],Overhead6[[#Headers],[Frais indirectement liés à l''activité - Autres fonctions - Chargé(e) de direction]])</f>
        <v>0</v>
      </c>
      <c r="V68" s="54">
        <f>SUMIFS(Recettes[Montant],Recettes[Fonctions],Overhead6[[#This Row],[Fonction]],Recettes[Frais généraux],Overhead6[[#Headers],[Frais indirectement liés à l''activité - Autres fonctions - Direction générale]])</f>
        <v>0</v>
      </c>
    </row>
    <row r="69" spans="2:22" ht="15" customHeight="1" x14ac:dyDescent="0.25">
      <c r="B69" s="163" t="s">
        <v>479</v>
      </c>
      <c r="C69" s="164">
        <f>IF(C67-C63&lt;0,0,C67-C63)</f>
        <v>0</v>
      </c>
      <c r="D69" s="79"/>
      <c r="E69" s="163" t="s">
        <v>481</v>
      </c>
      <c r="F69" s="167">
        <f>IF(F68=0,0,(SUM(E42:F42)/F67)*F68)</f>
        <v>0</v>
      </c>
      <c r="G69" s="163" t="s">
        <v>491</v>
      </c>
      <c r="H69" s="141">
        <f>IF(H68=0,0,(SUM(E60:F60)/H67)*H68)</f>
        <v>0</v>
      </c>
      <c r="I69" s="165"/>
      <c r="J69" s="165" t="s">
        <v>495</v>
      </c>
      <c r="K69" s="166">
        <f>IF(K64-K63&gt;=0,K64-K63,0)</f>
        <v>0</v>
      </c>
      <c r="O69" s="574"/>
      <c r="P69" s="58" t="s">
        <v>427</v>
      </c>
      <c r="Q69" s="53">
        <f>SUMIFS(Recettes[Montant],Recettes[Fonctions],Overhead6[[#This Row],[Fonction]],Recettes[Frais généraux],Overhead6[[#Headers],[Frais directement liés à l''activité - Encadrement]])</f>
        <v>0</v>
      </c>
      <c r="R69" s="53">
        <f>SUMIFS(Recettes[Montant],Recettes[Fonctions],Overhead6[[#This Row],[Fonction]],Recettes[Frais généraux],Overhead6[[#Headers],[Frais directement liés à l''activité - Logistique]])</f>
        <v>0</v>
      </c>
      <c r="S69" s="53">
        <f>SUMIFS(Recettes[Montant],Recettes[Fonctions],Overhead6[[#This Row],[Fonction]],Recettes[Frais généraux],Overhead6[[#Headers],[Frais indirectement liés à l''activité - Prévues par la loi ]])</f>
        <v>0</v>
      </c>
      <c r="T69" s="53">
        <f>SUMIFS(Recettes[Montant],Recettes[Fonctions],Overhead6[[#This Row],[Fonction]],Recettes[Frais généraux],Overhead6[[#Headers],[Frais indirectement liés à l''activité - Autres fonctions - Administration / Logistique]])</f>
        <v>0</v>
      </c>
      <c r="U69" s="53">
        <f>SUMIFS(Recettes[Montant],Recettes[Fonctions],Overhead6[[#This Row],[Fonction]],Recettes[Frais généraux],Overhead6[[#Headers],[Frais indirectement liés à l''activité - Autres fonctions - Chargé(e) de direction]])</f>
        <v>0</v>
      </c>
      <c r="V69" s="54">
        <f>SUMIFS(Recettes[Montant],Recettes[Fonctions],Overhead6[[#This Row],[Fonction]],Recettes[Frais généraux],Overhead6[[#Headers],[Frais indirectement liés à l''activité - Autres fonctions - Direction générale]])</f>
        <v>0</v>
      </c>
    </row>
    <row r="70" spans="2:22" x14ac:dyDescent="0.25">
      <c r="B70" s="142" t="s">
        <v>497</v>
      </c>
      <c r="C70" s="159"/>
      <c r="D70" s="159"/>
      <c r="E70" s="159"/>
      <c r="F70" s="159"/>
      <c r="G70" s="159"/>
      <c r="H70" s="159"/>
      <c r="I70" s="159"/>
      <c r="J70" s="159"/>
      <c r="K70" s="147"/>
      <c r="O70" s="574"/>
      <c r="P70" s="58" t="s">
        <v>428</v>
      </c>
      <c r="Q70" s="53">
        <f>SUMIFS(Recettes[Montant],Recettes[Fonctions],Overhead6[[#This Row],[Fonction]],Recettes[Frais généraux],Overhead6[[#Headers],[Frais directement liés à l''activité - Encadrement]])</f>
        <v>0</v>
      </c>
      <c r="R70" s="53">
        <f>SUMIFS(Recettes[Montant],Recettes[Fonctions],Overhead6[[#This Row],[Fonction]],Recettes[Frais généraux],Overhead6[[#Headers],[Frais directement liés à l''activité - Logistique]])</f>
        <v>0</v>
      </c>
      <c r="S70" s="53">
        <f>SUMIFS(Recettes[Montant],Recettes[Fonctions],Overhead6[[#This Row],[Fonction]],Recettes[Frais généraux],Overhead6[[#Headers],[Frais indirectement liés à l''activité - Prévues par la loi ]])</f>
        <v>0</v>
      </c>
      <c r="T70" s="53">
        <f>SUMIFS(Recettes[Montant],Recettes[Fonctions],Overhead6[[#This Row],[Fonction]],Recettes[Frais généraux],Overhead6[[#Headers],[Frais indirectement liés à l''activité - Autres fonctions - Administration / Logistique]])</f>
        <v>0</v>
      </c>
      <c r="U70" s="53">
        <f>SUMIFS(Recettes[Montant],Recettes[Fonctions],Overhead6[[#This Row],[Fonction]],Recettes[Frais généraux],Overhead6[[#Headers],[Frais indirectement liés à l''activité - Autres fonctions - Chargé(e) de direction]])</f>
        <v>0</v>
      </c>
      <c r="V70" s="54">
        <f>SUMIFS(Recettes[Montant],Recettes[Fonctions],Overhead6[[#This Row],[Fonction]],Recettes[Frais généraux],Overhead6[[#Headers],[Frais indirectement liés à l''activité - Autres fonctions - Direction générale]])</f>
        <v>0</v>
      </c>
    </row>
    <row r="71" spans="2:22" x14ac:dyDescent="0.25">
      <c r="B71" s="169" t="s">
        <v>417</v>
      </c>
      <c r="C71" s="170" t="s">
        <v>96</v>
      </c>
      <c r="D71" s="96"/>
      <c r="E71" s="96"/>
      <c r="F71" s="96"/>
      <c r="G71" s="96"/>
      <c r="H71" s="96"/>
      <c r="I71" s="96"/>
      <c r="J71" s="96"/>
      <c r="K71" s="97"/>
      <c r="O71" s="574"/>
      <c r="P71" s="58" t="s">
        <v>429</v>
      </c>
      <c r="Q71" s="53">
        <f>SUMIFS(Recettes[Montant],Recettes[Fonctions],Overhead6[[#This Row],[Fonction]],Recettes[Frais généraux],Overhead6[[#Headers],[Frais directement liés à l''activité - Encadrement]])</f>
        <v>0</v>
      </c>
      <c r="R71" s="53">
        <f>SUMIFS(Recettes[Montant],Recettes[Fonctions],Overhead6[[#This Row],[Fonction]],Recettes[Frais généraux],Overhead6[[#Headers],[Frais directement liés à l''activité - Logistique]])</f>
        <v>0</v>
      </c>
      <c r="S71" s="53">
        <f>SUMIFS(Recettes[Montant],Recettes[Fonctions],Overhead6[[#This Row],[Fonction]],Recettes[Frais généraux],Overhead6[[#Headers],[Frais indirectement liés à l''activité - Prévues par la loi ]])</f>
        <v>0</v>
      </c>
      <c r="T71" s="53">
        <f>SUMIFS(Recettes[Montant],Recettes[Fonctions],Overhead6[[#This Row],[Fonction]],Recettes[Frais généraux],Overhead6[[#Headers],[Frais indirectement liés à l''activité - Autres fonctions - Administration / Logistique]])</f>
        <v>0</v>
      </c>
      <c r="U71" s="53">
        <f>SUMIFS(Recettes[Montant],Recettes[Fonctions],Overhead6[[#This Row],[Fonction]],Recettes[Frais généraux],Overhead6[[#Headers],[Frais indirectement liés à l''activité - Autres fonctions - Chargé(e) de direction]])</f>
        <v>0</v>
      </c>
      <c r="V71" s="54">
        <f>SUMIFS(Recettes[Montant],Recettes[Fonctions],Overhead6[[#This Row],[Fonction]],Recettes[Frais généraux],Overhead6[[#Headers],[Frais indirectement liés à l''activité - Autres fonctions - Direction générale]])</f>
        <v>0</v>
      </c>
    </row>
    <row r="72" spans="2:22" x14ac:dyDescent="0.25">
      <c r="B72" s="98" t="s">
        <v>425</v>
      </c>
      <c r="C72" s="160">
        <f>'Variable et Dropdowns'!AH2</f>
        <v>0</v>
      </c>
      <c r="D72" s="99"/>
      <c r="E72" s="99"/>
      <c r="F72" s="99"/>
      <c r="G72" s="99"/>
      <c r="H72" s="99"/>
      <c r="I72" s="99"/>
      <c r="J72" s="99"/>
      <c r="K72" s="100"/>
      <c r="O72" s="574"/>
      <c r="P72" s="58" t="s">
        <v>115</v>
      </c>
      <c r="Q72" s="53">
        <f>SUMIFS(Recettes[Montant],Recettes[Fonctions],Overhead6[[#This Row],[Fonction]],Recettes[Frais généraux],Overhead6[[#Headers],[Frais directement liés à l''activité - Encadrement]])</f>
        <v>0</v>
      </c>
      <c r="R72" s="53">
        <f>SUMIFS(Recettes[Montant],Recettes[Fonctions],Overhead6[[#This Row],[Fonction]],Recettes[Frais généraux],Overhead6[[#Headers],[Frais directement liés à l''activité - Logistique]])</f>
        <v>0</v>
      </c>
      <c r="S72" s="53">
        <f>SUMIFS(Recettes[Montant],Recettes[Fonctions],Overhead6[[#This Row],[Fonction]],Recettes[Frais généraux],Overhead6[[#Headers],[Frais indirectement liés à l''activité - Prévues par la loi ]])</f>
        <v>0</v>
      </c>
      <c r="T72" s="53">
        <f>SUMIFS(Recettes[Montant],Recettes[Fonctions],Overhead6[[#This Row],[Fonction]],Recettes[Frais généraux],Overhead6[[#Headers],[Frais indirectement liés à l''activité - Autres fonctions - Administration / Logistique]])</f>
        <v>0</v>
      </c>
      <c r="U72" s="53">
        <f>SUMIFS(Recettes[Montant],Recettes[Fonctions],Overhead6[[#This Row],[Fonction]],Recettes[Frais généraux],Overhead6[[#Headers],[Frais indirectement liés à l''activité - Autres fonctions - Chargé(e) de direction]])</f>
        <v>0</v>
      </c>
      <c r="V72" s="54">
        <f>SUMIFS(Recettes[Montant],Recettes[Fonctions],Overhead6[[#This Row],[Fonction]],Recettes[Frais généraux],Overhead6[[#Headers],[Frais indirectement liés à l''activité - Autres fonctions - Direction générale]])</f>
        <v>0</v>
      </c>
    </row>
    <row r="73" spans="2:22" x14ac:dyDescent="0.25">
      <c r="B73" s="98" t="s">
        <v>426</v>
      </c>
      <c r="C73" s="160">
        <f>'Variable et Dropdowns'!AH3</f>
        <v>0</v>
      </c>
      <c r="D73" s="99"/>
      <c r="E73" s="99"/>
      <c r="F73" s="99"/>
      <c r="G73" s="99"/>
      <c r="H73" s="99"/>
      <c r="I73" s="99"/>
      <c r="J73" s="99"/>
      <c r="K73" s="100"/>
      <c r="O73" s="574"/>
      <c r="P73" s="58" t="s">
        <v>116</v>
      </c>
      <c r="Q73" s="53">
        <f>SUMIFS(Recettes[Montant],Recettes[Fonctions],Overhead6[[#This Row],[Fonction]],Recettes[Frais généraux],Overhead6[[#Headers],[Frais directement liés à l''activité - Encadrement]])</f>
        <v>0</v>
      </c>
      <c r="R73" s="53">
        <f>SUMIFS(Recettes[Montant],Recettes[Fonctions],Overhead6[[#This Row],[Fonction]],Recettes[Frais généraux],Overhead6[[#Headers],[Frais directement liés à l''activité - Logistique]])</f>
        <v>0</v>
      </c>
      <c r="S73" s="53">
        <f>SUMIFS(Recettes[Montant],Recettes[Fonctions],Overhead6[[#This Row],[Fonction]],Recettes[Frais généraux],Overhead6[[#Headers],[Frais indirectement liés à l''activité - Prévues par la loi ]])</f>
        <v>0</v>
      </c>
      <c r="T73" s="53">
        <f>SUMIFS(Recettes[Montant],Recettes[Fonctions],Overhead6[[#This Row],[Fonction]],Recettes[Frais généraux],Overhead6[[#Headers],[Frais indirectement liés à l''activité - Autres fonctions - Administration / Logistique]])</f>
        <v>0</v>
      </c>
      <c r="U73" s="53">
        <f>SUMIFS(Recettes[Montant],Recettes[Fonctions],Overhead6[[#This Row],[Fonction]],Recettes[Frais généraux],Overhead6[[#Headers],[Frais indirectement liés à l''activité - Autres fonctions - Chargé(e) de direction]])</f>
        <v>0</v>
      </c>
      <c r="V73" s="54">
        <f>SUMIFS(Recettes[Montant],Recettes[Fonctions],Overhead6[[#This Row],[Fonction]],Recettes[Frais généraux],Overhead6[[#Headers],[Frais indirectement liés à l''activité - Autres fonctions - Direction générale]])</f>
        <v>0</v>
      </c>
    </row>
    <row r="74" spans="2:22" ht="15.75" thickBot="1" x14ac:dyDescent="0.3">
      <c r="B74" s="98" t="s">
        <v>427</v>
      </c>
      <c r="C74" s="160">
        <f>'Variable et Dropdowns'!AH4</f>
        <v>0</v>
      </c>
      <c r="D74" s="99"/>
      <c r="E74" s="99"/>
      <c r="F74" s="99"/>
      <c r="G74" s="99"/>
      <c r="H74" s="99"/>
      <c r="I74" s="99"/>
      <c r="J74" s="99"/>
      <c r="K74" s="100"/>
      <c r="O74" s="575"/>
      <c r="P74" s="63" t="s">
        <v>207</v>
      </c>
      <c r="Q74" s="55">
        <f>SUMIFS(Recettes[Montant],Recettes[Fonctions],Overhead6[[#This Row],[Fonction]],Recettes[Frais généraux],Overhead6[[#Headers],[Frais directement liés à l''activité - Encadrement]])</f>
        <v>0</v>
      </c>
      <c r="R74" s="55">
        <f>SUMIFS(Recettes[Montant],Recettes[Fonctions],Overhead6[[#This Row],[Fonction]],Recettes[Frais généraux],Overhead6[[#Headers],[Frais directement liés à l''activité - Logistique]])</f>
        <v>0</v>
      </c>
      <c r="S74" s="55">
        <f>SUMIFS(Recettes[Montant],Recettes[Fonctions],Overhead6[[#This Row],[Fonction]],Recettes[Frais généraux],Overhead6[[#Headers],[Frais indirectement liés à l''activité - Prévues par la loi ]])</f>
        <v>0</v>
      </c>
      <c r="T74" s="55">
        <f>SUMIFS(Recettes[Montant],Recettes[Fonctions],Overhead6[[#This Row],[Fonction]],Recettes[Frais généraux],Overhead6[[#Headers],[Frais indirectement liés à l''activité - Autres fonctions - Administration / Logistique]])</f>
        <v>0</v>
      </c>
      <c r="U74" s="55">
        <f>SUMIFS(Recettes[Montant],Recettes[Fonctions],Overhead6[[#This Row],[Fonction]],Recettes[Frais généraux],Overhead6[[#Headers],[Frais indirectement liés à l''activité - Autres fonctions - Chargé(e) de direction]])</f>
        <v>0</v>
      </c>
      <c r="V74" s="56">
        <f>SUMIFS(Recettes[Montant],Recettes[Fonctions],Overhead6[[#This Row],[Fonction]],Recettes[Frais généraux],Overhead6[[#Headers],[Frais indirectement liés à l''activité - Autres fonctions - Direction générale]])</f>
        <v>0</v>
      </c>
    </row>
    <row r="75" spans="2:22" x14ac:dyDescent="0.25">
      <c r="B75" s="98" t="s">
        <v>428</v>
      </c>
      <c r="C75" s="160">
        <f>'Variable et Dropdowns'!AH5</f>
        <v>0</v>
      </c>
      <c r="D75" s="99"/>
      <c r="E75" s="99"/>
      <c r="F75" s="99"/>
      <c r="G75" s="99"/>
      <c r="H75" s="99"/>
      <c r="I75" s="99"/>
      <c r="J75" s="99"/>
      <c r="K75" s="100"/>
      <c r="P75" s="58" t="s">
        <v>33</v>
      </c>
      <c r="Q75" s="185">
        <f>SUBTOTAL(109,Overhead6[Frais directement liés à l''activité - Encadrement])</f>
        <v>0</v>
      </c>
      <c r="R75" s="185">
        <f>SUBTOTAL(109,Overhead6[Frais directement liés à l''activité - Logistique])</f>
        <v>0</v>
      </c>
      <c r="S75" s="185">
        <f>SUBTOTAL(109,Overhead6[Frais indirectement liés à l''activité - Prévues par la loi ])</f>
        <v>0</v>
      </c>
      <c r="T75" s="185">
        <f>SUBTOTAL(109,Overhead6[Frais indirectement liés à l''activité - Autres fonctions - Administration / Logistique])</f>
        <v>0</v>
      </c>
      <c r="U75" s="185">
        <f>SUBTOTAL(109,Overhead6[Frais indirectement liés à l''activité - Autres fonctions - Chargé(e) de direction])</f>
        <v>0</v>
      </c>
      <c r="V75" s="185">
        <f>SUBTOTAL(109,Overhead6[Frais indirectement liés à l''activité - Autres fonctions - Direction générale])</f>
        <v>0</v>
      </c>
    </row>
    <row r="76" spans="2:22" x14ac:dyDescent="0.25">
      <c r="B76" s="98" t="s">
        <v>429</v>
      </c>
      <c r="C76" s="160">
        <f>'Variable et Dropdowns'!AH6</f>
        <v>0</v>
      </c>
      <c r="D76" s="99"/>
      <c r="E76" s="99"/>
      <c r="F76" s="99"/>
      <c r="G76" s="99"/>
      <c r="H76" s="99"/>
      <c r="I76" s="99"/>
      <c r="J76" s="99"/>
      <c r="K76" s="100"/>
    </row>
    <row r="77" spans="2:22" x14ac:dyDescent="0.25">
      <c r="B77" s="98" t="s">
        <v>115</v>
      </c>
      <c r="C77" s="160">
        <f>'Variable et Dropdowns'!AH7</f>
        <v>0</v>
      </c>
      <c r="D77" s="99"/>
      <c r="E77" s="99"/>
      <c r="F77" s="99"/>
      <c r="G77" s="99"/>
      <c r="H77" s="99"/>
      <c r="I77" s="99"/>
      <c r="J77" s="99"/>
      <c r="K77" s="100"/>
      <c r="O77" s="81"/>
    </row>
    <row r="78" spans="2:22" x14ac:dyDescent="0.25">
      <c r="B78" s="98" t="s">
        <v>116</v>
      </c>
      <c r="C78" s="160">
        <f>'Variable et Dropdowns'!AH8</f>
        <v>0</v>
      </c>
      <c r="D78" s="99"/>
      <c r="E78" s="99"/>
      <c r="F78" s="99"/>
      <c r="G78" s="99"/>
      <c r="H78" s="99"/>
      <c r="I78" s="99"/>
      <c r="J78" s="99"/>
      <c r="K78" s="100"/>
    </row>
    <row r="79" spans="2:22" x14ac:dyDescent="0.25">
      <c r="B79" s="98" t="s">
        <v>207</v>
      </c>
      <c r="C79" s="160">
        <f>'Variable et Dropdowns'!AH9</f>
        <v>0</v>
      </c>
      <c r="D79" s="99"/>
      <c r="E79" s="99"/>
      <c r="F79" s="99"/>
      <c r="G79" s="99"/>
      <c r="H79" s="99"/>
      <c r="I79" s="99"/>
      <c r="J79" s="99"/>
      <c r="K79" s="100"/>
    </row>
    <row r="80" spans="2:22" x14ac:dyDescent="0.25">
      <c r="B80" s="142" t="s">
        <v>33</v>
      </c>
      <c r="C80" s="144">
        <f>SUM(C72:C79)</f>
        <v>0</v>
      </c>
      <c r="D80" s="79"/>
      <c r="E80" s="79"/>
      <c r="F80" s="79"/>
      <c r="G80" s="79"/>
      <c r="H80" s="79"/>
      <c r="I80" s="79"/>
      <c r="J80" s="79"/>
      <c r="K80" s="102"/>
    </row>
    <row r="81" spans="2:11" x14ac:dyDescent="0.25">
      <c r="B81" s="142" t="s">
        <v>513</v>
      </c>
      <c r="C81" s="135"/>
      <c r="D81" s="135"/>
      <c r="E81" s="135"/>
      <c r="F81" s="135"/>
      <c r="G81" s="135"/>
      <c r="H81" s="135"/>
      <c r="I81" s="135"/>
      <c r="J81" s="135"/>
      <c r="K81" s="136"/>
    </row>
    <row r="82" spans="2:11" x14ac:dyDescent="0.25">
      <c r="B82" s="146" t="s">
        <v>262</v>
      </c>
      <c r="C82" s="146" t="s">
        <v>470</v>
      </c>
      <c r="D82" s="147"/>
      <c r="E82" s="148" t="s">
        <v>471</v>
      </c>
      <c r="F82" s="149" t="s">
        <v>383</v>
      </c>
      <c r="G82" s="149" t="s">
        <v>533</v>
      </c>
      <c r="H82" s="96"/>
      <c r="I82" s="96"/>
      <c r="J82" s="96"/>
      <c r="K82" s="97"/>
    </row>
    <row r="83" spans="2:11" x14ac:dyDescent="0.25">
      <c r="B83" s="150" t="s">
        <v>99</v>
      </c>
      <c r="C83" s="151">
        <f>IF($C$69=0,0,$C$69*(C42/$C$67))</f>
        <v>0</v>
      </c>
      <c r="D83" s="151"/>
      <c r="E83" s="151">
        <f>IF($F$69=0,0,$F$69*(E42/$K$42))</f>
        <v>0</v>
      </c>
      <c r="F83" s="151">
        <f>IF($F$69=0,0,$F$69*(F42/$K$42))</f>
        <v>0</v>
      </c>
      <c r="G83" s="156">
        <f>SUM(C83:F83)</f>
        <v>0</v>
      </c>
      <c r="H83" s="99"/>
      <c r="I83" s="99"/>
      <c r="J83" s="99"/>
      <c r="K83" s="100"/>
    </row>
    <row r="84" spans="2:11" x14ac:dyDescent="0.25">
      <c r="B84" s="152" t="s">
        <v>100</v>
      </c>
      <c r="C84" s="153">
        <f t="shared" ref="C84:C95" si="3">IF($C$69=0,0,$C$69*(C43/$C$67))</f>
        <v>0</v>
      </c>
      <c r="D84" s="153"/>
      <c r="E84" s="153">
        <f t="shared" ref="E84:F84" si="4">IF($C$69=0,0,$C$69*(E43/$C$67))</f>
        <v>0</v>
      </c>
      <c r="F84" s="153">
        <f t="shared" si="4"/>
        <v>0</v>
      </c>
      <c r="G84" s="157">
        <f t="shared" ref="G84:G101" si="5">SUM(C84:F84)</f>
        <v>0</v>
      </c>
      <c r="H84" s="99"/>
      <c r="I84" s="99"/>
      <c r="J84" s="99"/>
      <c r="K84" s="100"/>
    </row>
    <row r="85" spans="2:11" x14ac:dyDescent="0.25">
      <c r="B85" s="152" t="s">
        <v>101</v>
      </c>
      <c r="C85" s="153">
        <f t="shared" si="3"/>
        <v>0</v>
      </c>
      <c r="D85" s="153"/>
      <c r="E85" s="153">
        <f t="shared" ref="E85:F85" si="6">IF($C$69=0,0,$C$69*(E44/$C$67))</f>
        <v>0</v>
      </c>
      <c r="F85" s="153">
        <f t="shared" si="6"/>
        <v>0</v>
      </c>
      <c r="G85" s="157">
        <f t="shared" si="5"/>
        <v>0</v>
      </c>
      <c r="H85" s="99"/>
      <c r="I85" s="99"/>
      <c r="J85" s="99"/>
      <c r="K85" s="100"/>
    </row>
    <row r="86" spans="2:11" x14ac:dyDescent="0.25">
      <c r="B86" s="152" t="s">
        <v>102</v>
      </c>
      <c r="C86" s="153">
        <f t="shared" si="3"/>
        <v>0</v>
      </c>
      <c r="D86" s="153"/>
      <c r="E86" s="153">
        <f t="shared" ref="E86:F86" si="7">IF($C$69=0,0,$C$69*(E45/$C$67))</f>
        <v>0</v>
      </c>
      <c r="F86" s="153">
        <f t="shared" si="7"/>
        <v>0</v>
      </c>
      <c r="G86" s="157">
        <f t="shared" si="5"/>
        <v>0</v>
      </c>
      <c r="H86" s="99"/>
      <c r="I86" s="99"/>
      <c r="J86" s="99"/>
      <c r="K86" s="100"/>
    </row>
    <row r="87" spans="2:11" x14ac:dyDescent="0.25">
      <c r="B87" s="152" t="s">
        <v>103</v>
      </c>
      <c r="C87" s="153">
        <f t="shared" si="3"/>
        <v>0</v>
      </c>
      <c r="D87" s="153"/>
      <c r="E87" s="153">
        <f t="shared" ref="E87:F87" si="8">IF($C$69=0,0,$C$69*(E46/$C$67))</f>
        <v>0</v>
      </c>
      <c r="F87" s="153">
        <f t="shared" si="8"/>
        <v>0</v>
      </c>
      <c r="G87" s="157">
        <f t="shared" si="5"/>
        <v>0</v>
      </c>
      <c r="H87" s="99"/>
      <c r="I87" s="99"/>
      <c r="J87" s="99"/>
      <c r="K87" s="100"/>
    </row>
    <row r="88" spans="2:11" x14ac:dyDescent="0.25">
      <c r="B88" s="152" t="s">
        <v>117</v>
      </c>
      <c r="C88" s="153">
        <f t="shared" si="3"/>
        <v>0</v>
      </c>
      <c r="D88" s="153"/>
      <c r="E88" s="153">
        <f t="shared" ref="E88:F88" si="9">IF($C$69=0,0,$C$69*(E47/$C$67))</f>
        <v>0</v>
      </c>
      <c r="F88" s="153">
        <f t="shared" si="9"/>
        <v>0</v>
      </c>
      <c r="G88" s="157">
        <f t="shared" si="5"/>
        <v>0</v>
      </c>
      <c r="H88" s="99"/>
      <c r="I88" s="99"/>
      <c r="J88" s="99"/>
      <c r="K88" s="100"/>
    </row>
    <row r="89" spans="2:11" x14ac:dyDescent="0.25">
      <c r="B89" s="152" t="s">
        <v>104</v>
      </c>
      <c r="C89" s="153">
        <f t="shared" si="3"/>
        <v>0</v>
      </c>
      <c r="D89" s="153"/>
      <c r="E89" s="153">
        <f t="shared" ref="E89:F89" si="10">IF($C$69=0,0,$C$69*(E48/$C$67))</f>
        <v>0</v>
      </c>
      <c r="F89" s="153">
        <f t="shared" si="10"/>
        <v>0</v>
      </c>
      <c r="G89" s="157">
        <f t="shared" si="5"/>
        <v>0</v>
      </c>
      <c r="H89" s="99"/>
      <c r="I89" s="99"/>
      <c r="J89" s="99"/>
      <c r="K89" s="100"/>
    </row>
    <row r="90" spans="2:11" x14ac:dyDescent="0.25">
      <c r="B90" s="152" t="s">
        <v>105</v>
      </c>
      <c r="C90" s="153">
        <f t="shared" si="3"/>
        <v>0</v>
      </c>
      <c r="D90" s="153"/>
      <c r="E90" s="153">
        <f t="shared" ref="E90:F90" si="11">IF($C$69=0,0,$C$69*(E49/$C$67))</f>
        <v>0</v>
      </c>
      <c r="F90" s="153">
        <f t="shared" si="11"/>
        <v>0</v>
      </c>
      <c r="G90" s="157">
        <f t="shared" si="5"/>
        <v>0</v>
      </c>
      <c r="H90" s="99"/>
      <c r="I90" s="99"/>
      <c r="J90" s="99"/>
      <c r="K90" s="100"/>
    </row>
    <row r="91" spans="2:11" x14ac:dyDescent="0.25">
      <c r="B91" s="152" t="s">
        <v>106</v>
      </c>
      <c r="C91" s="153">
        <f t="shared" si="3"/>
        <v>0</v>
      </c>
      <c r="D91" s="153"/>
      <c r="E91" s="153">
        <f t="shared" ref="E91:F91" si="12">IF($C$69=0,0,$C$69*(E50/$C$67))</f>
        <v>0</v>
      </c>
      <c r="F91" s="153">
        <f t="shared" si="12"/>
        <v>0</v>
      </c>
      <c r="G91" s="157">
        <f t="shared" si="5"/>
        <v>0</v>
      </c>
      <c r="H91" s="99"/>
      <c r="I91" s="99"/>
      <c r="J91" s="99"/>
      <c r="K91" s="100"/>
    </row>
    <row r="92" spans="2:11" x14ac:dyDescent="0.25">
      <c r="B92" s="152" t="s">
        <v>107</v>
      </c>
      <c r="C92" s="153">
        <f t="shared" si="3"/>
        <v>0</v>
      </c>
      <c r="D92" s="153"/>
      <c r="E92" s="153">
        <f t="shared" ref="E92:F92" si="13">IF($C$69=0,0,$C$69*(E51/$C$67))</f>
        <v>0</v>
      </c>
      <c r="F92" s="153">
        <f t="shared" si="13"/>
        <v>0</v>
      </c>
      <c r="G92" s="157">
        <f t="shared" si="5"/>
        <v>0</v>
      </c>
      <c r="H92" s="99"/>
      <c r="I92" s="99"/>
      <c r="J92" s="99"/>
      <c r="K92" s="100"/>
    </row>
    <row r="93" spans="2:11" x14ac:dyDescent="0.25">
      <c r="B93" s="152" t="s">
        <v>108</v>
      </c>
      <c r="C93" s="153">
        <f t="shared" si="3"/>
        <v>0</v>
      </c>
      <c r="D93" s="153"/>
      <c r="E93" s="153">
        <f t="shared" ref="E93:F93" si="14">IF($C$69=0,0,$C$69*(E52/$C$67))</f>
        <v>0</v>
      </c>
      <c r="F93" s="153">
        <f t="shared" si="14"/>
        <v>0</v>
      </c>
      <c r="G93" s="157">
        <f t="shared" si="5"/>
        <v>0</v>
      </c>
      <c r="H93" s="99"/>
      <c r="I93" s="99"/>
      <c r="J93" s="99"/>
      <c r="K93" s="100"/>
    </row>
    <row r="94" spans="2:11" x14ac:dyDescent="0.25">
      <c r="B94" s="152" t="s">
        <v>109</v>
      </c>
      <c r="C94" s="153">
        <f t="shared" si="3"/>
        <v>0</v>
      </c>
      <c r="D94" s="153"/>
      <c r="E94" s="153">
        <f t="shared" ref="E94:F94" si="15">IF($C$69=0,0,$C$69*(E53/$C$67))</f>
        <v>0</v>
      </c>
      <c r="F94" s="153">
        <f t="shared" si="15"/>
        <v>0</v>
      </c>
      <c r="G94" s="157">
        <f t="shared" si="5"/>
        <v>0</v>
      </c>
      <c r="H94" s="99"/>
      <c r="I94" s="99"/>
      <c r="J94" s="99"/>
      <c r="K94" s="100"/>
    </row>
    <row r="95" spans="2:11" x14ac:dyDescent="0.25">
      <c r="B95" s="152" t="s">
        <v>110</v>
      </c>
      <c r="C95" s="153">
        <f t="shared" si="3"/>
        <v>0</v>
      </c>
      <c r="D95" s="153"/>
      <c r="E95" s="153">
        <f t="shared" ref="E95:F95" si="16">IF($C$69=0,0,$C$69*(E54/$C$67))</f>
        <v>0</v>
      </c>
      <c r="F95" s="153">
        <f t="shared" si="16"/>
        <v>0</v>
      </c>
      <c r="G95" s="157">
        <f t="shared" si="5"/>
        <v>0</v>
      </c>
      <c r="H95" s="99"/>
      <c r="I95" s="99"/>
      <c r="J95" s="99"/>
      <c r="K95" s="100"/>
    </row>
    <row r="96" spans="2:11" x14ac:dyDescent="0.25">
      <c r="B96" s="152" t="s">
        <v>111</v>
      </c>
      <c r="C96" s="153">
        <f>IF($C$69=0,0,IF(SUM($G$55:$G$56)=0,0,$C$69*((C55-($C$75*((C55/SUM($G$55:$G$56)))))/$C$67)))</f>
        <v>0</v>
      </c>
      <c r="D96" s="153"/>
      <c r="E96" s="153">
        <f t="shared" ref="E96:F97" si="17">IF($C$69=0,0,IF(SUM($G$55:$G$56)=0,0,$C$69*((E55-($C$75*((E55/SUM($G$55:$G$56)))))/$C$67)))</f>
        <v>0</v>
      </c>
      <c r="F96" s="153">
        <f t="shared" si="17"/>
        <v>0</v>
      </c>
      <c r="G96" s="157">
        <f t="shared" si="5"/>
        <v>0</v>
      </c>
      <c r="H96" s="99"/>
      <c r="I96" s="99"/>
      <c r="J96" s="99"/>
      <c r="K96" s="100"/>
    </row>
    <row r="97" spans="1:11" x14ac:dyDescent="0.25">
      <c r="B97" s="152" t="s">
        <v>112</v>
      </c>
      <c r="C97" s="153">
        <f>IF($C$69=0,0,IF(SUM($G$55:$G$56)=0,0,$C$69*((C56-($C$75*((C56/SUM($G$55:$G$56)))))/$C$67)))</f>
        <v>0</v>
      </c>
      <c r="D97" s="153"/>
      <c r="E97" s="153">
        <f t="shared" si="17"/>
        <v>0</v>
      </c>
      <c r="F97" s="153">
        <f t="shared" si="17"/>
        <v>0</v>
      </c>
      <c r="G97" s="157">
        <f t="shared" si="5"/>
        <v>0</v>
      </c>
      <c r="H97" s="99"/>
      <c r="I97" s="99"/>
      <c r="J97" s="99"/>
      <c r="K97" s="100"/>
    </row>
    <row r="98" spans="1:11" x14ac:dyDescent="0.25">
      <c r="B98" s="152" t="s">
        <v>113</v>
      </c>
      <c r="C98" s="153">
        <f>IF($C$69=0,0,IF(SUM($G$57:$G$58)=0,0,$C$69*((C57-($C$76*((C57/SUM($G$57:$G$58)))))/$C$67)))</f>
        <v>0</v>
      </c>
      <c r="D98" s="153"/>
      <c r="E98" s="153">
        <f t="shared" ref="E98:F99" si="18">IF($C$69=0,0,IF(SUM($G$57:$G$58)=0,0,$C$69*((E57-($C$76*((E57/SUM($G$57:$G$58)))))/$C$67)))</f>
        <v>0</v>
      </c>
      <c r="F98" s="153">
        <f t="shared" si="18"/>
        <v>0</v>
      </c>
      <c r="G98" s="157">
        <f t="shared" si="5"/>
        <v>0</v>
      </c>
      <c r="H98" s="99"/>
      <c r="I98" s="99"/>
      <c r="J98" s="99"/>
      <c r="K98" s="100"/>
    </row>
    <row r="99" spans="1:11" x14ac:dyDescent="0.25">
      <c r="B99" s="152" t="s">
        <v>114</v>
      </c>
      <c r="C99" s="153">
        <f>IF($C$69=0,0,IF(SUM($G$57:$G$58)=0,0,$C$69*((C58-($C$76*((C58/SUM($G$57:$G$58)))))/$C$67)))</f>
        <v>0</v>
      </c>
      <c r="D99" s="153"/>
      <c r="E99" s="153">
        <f t="shared" si="18"/>
        <v>0</v>
      </c>
      <c r="F99" s="153">
        <f t="shared" si="18"/>
        <v>0</v>
      </c>
      <c r="G99" s="157">
        <f t="shared" si="5"/>
        <v>0</v>
      </c>
      <c r="H99" s="99"/>
      <c r="I99" s="99"/>
      <c r="J99" s="99"/>
      <c r="K99" s="100"/>
    </row>
    <row r="100" spans="1:11" x14ac:dyDescent="0.25">
      <c r="B100" s="152" t="s">
        <v>115</v>
      </c>
      <c r="C100" s="153">
        <f>IF($C$69=0,0,IF($G$59=0,0,$C$69*((C59-($C$77*((C59/$G$59))))/$C$67)))</f>
        <v>0</v>
      </c>
      <c r="D100" s="153"/>
      <c r="E100" s="153">
        <f t="shared" ref="E100:F100" si="19">IF($C$69=0,0,IF($G$59=0,0,$C$69*((E59-($C$77*((E59/$G$59))))/$C$67)))</f>
        <v>0</v>
      </c>
      <c r="F100" s="153">
        <f t="shared" si="19"/>
        <v>0</v>
      </c>
      <c r="G100" s="157">
        <f t="shared" si="5"/>
        <v>0</v>
      </c>
      <c r="H100" s="99"/>
      <c r="I100" s="99"/>
      <c r="J100" s="99"/>
      <c r="K100" s="100"/>
    </row>
    <row r="101" spans="1:11" x14ac:dyDescent="0.25">
      <c r="B101" s="154" t="s">
        <v>116</v>
      </c>
      <c r="C101" s="153">
        <f>K69</f>
        <v>0</v>
      </c>
      <c r="D101" s="155"/>
      <c r="E101" s="151">
        <f>IF($H$69=0,0,$H$69*(E60/$K$44))</f>
        <v>0</v>
      </c>
      <c r="F101" s="151">
        <f>IF($H$69=0,0,$H$69*(F60/$K$44))</f>
        <v>0</v>
      </c>
      <c r="G101" s="158">
        <f t="shared" si="5"/>
        <v>0</v>
      </c>
      <c r="H101" s="99"/>
      <c r="I101" s="99"/>
      <c r="J101" s="99"/>
      <c r="K101" s="100"/>
    </row>
    <row r="102" spans="1:11" x14ac:dyDescent="0.25">
      <c r="B102" s="145" t="s">
        <v>464</v>
      </c>
      <c r="C102" s="143">
        <f>SUM(C83:C101)</f>
        <v>0</v>
      </c>
      <c r="D102" s="143"/>
      <c r="E102" s="143">
        <f>SUM(E83:E101)</f>
        <v>0</v>
      </c>
      <c r="F102" s="143">
        <f>SUM(F83:F101)</f>
        <v>0</v>
      </c>
      <c r="G102" s="143">
        <f>SUM(G83:G101)</f>
        <v>0</v>
      </c>
      <c r="H102" s="99"/>
      <c r="I102" s="99"/>
      <c r="J102" s="99"/>
      <c r="K102" s="100"/>
    </row>
    <row r="103" spans="1:11" x14ac:dyDescent="0.25">
      <c r="B103" s="142" t="s">
        <v>529</v>
      </c>
      <c r="C103" s="135"/>
      <c r="D103" s="135"/>
      <c r="E103" s="135"/>
      <c r="F103" s="135"/>
      <c r="G103" s="135"/>
      <c r="H103" s="135"/>
      <c r="I103" s="135"/>
      <c r="J103" s="135"/>
      <c r="K103" s="136"/>
    </row>
    <row r="104" spans="1:11" x14ac:dyDescent="0.25">
      <c r="B104" s="172" t="s">
        <v>528</v>
      </c>
      <c r="C104" s="173">
        <f>BPI!F13</f>
        <v>0</v>
      </c>
      <c r="D104" s="96"/>
      <c r="E104" s="127" t="s">
        <v>530</v>
      </c>
      <c r="F104" s="127">
        <f>COUNTA(BPI[Initiales du nom de l''enfant])</f>
        <v>0</v>
      </c>
      <c r="G104" s="96"/>
      <c r="H104" s="96"/>
      <c r="I104" s="96"/>
      <c r="J104" s="96"/>
      <c r="K104" s="97"/>
    </row>
    <row r="105" spans="1:11" x14ac:dyDescent="0.25">
      <c r="B105" s="134" t="s">
        <v>85</v>
      </c>
      <c r="C105" s="99">
        <f>BPI!D9</f>
        <v>0</v>
      </c>
      <c r="D105" s="99"/>
      <c r="E105" s="99"/>
      <c r="F105" s="99"/>
      <c r="G105" s="99"/>
      <c r="H105" s="99"/>
      <c r="I105" s="99"/>
      <c r="J105" s="99"/>
      <c r="K105" s="100"/>
    </row>
    <row r="106" spans="1:11" x14ac:dyDescent="0.25">
      <c r="B106" s="171" t="s">
        <v>86</v>
      </c>
      <c r="C106" s="79">
        <f>BPI!D10</f>
        <v>0</v>
      </c>
      <c r="D106" s="79"/>
      <c r="E106" s="79"/>
      <c r="F106" s="79"/>
      <c r="G106" s="79"/>
      <c r="H106" s="79"/>
      <c r="I106" s="79"/>
      <c r="J106" s="79"/>
      <c r="K106" s="102"/>
    </row>
    <row r="107" spans="1:11" x14ac:dyDescent="0.25">
      <c r="A107" s="582" t="s">
        <v>544</v>
      </c>
      <c r="B107" s="142" t="s">
        <v>537</v>
      </c>
      <c r="C107" s="135"/>
      <c r="D107" s="135"/>
      <c r="E107" s="135"/>
      <c r="F107" s="135"/>
      <c r="G107" s="135"/>
      <c r="H107" s="135"/>
      <c r="I107" s="135"/>
      <c r="J107" s="135"/>
      <c r="K107" s="136"/>
    </row>
    <row r="108" spans="1:11" x14ac:dyDescent="0.25">
      <c r="A108" s="582"/>
      <c r="B108" s="146" t="s">
        <v>262</v>
      </c>
      <c r="C108" s="146"/>
      <c r="D108" s="147"/>
      <c r="E108" s="148" t="s">
        <v>551</v>
      </c>
      <c r="F108" s="149" t="s">
        <v>552</v>
      </c>
      <c r="G108" s="149" t="s">
        <v>538</v>
      </c>
      <c r="H108" s="99"/>
      <c r="I108" s="99"/>
      <c r="J108" s="99"/>
      <c r="K108" s="100"/>
    </row>
    <row r="109" spans="1:11" x14ac:dyDescent="0.25">
      <c r="A109" s="582"/>
      <c r="B109" s="150" t="s">
        <v>99</v>
      </c>
      <c r="C109" s="151"/>
      <c r="D109" s="151"/>
      <c r="E109" s="178">
        <f>SUMIF(CCTSAS[Allocation fonctions],B109,CCTSAS[heures annuelles
selon contrat(s)])</f>
        <v>0</v>
      </c>
      <c r="F109" s="178">
        <f>SUMIF(SalCommune[Allocations fonctions],B109,SalCommune[heures annuelles
selon contrat(s)])</f>
        <v>0</v>
      </c>
      <c r="G109" s="179">
        <f>SUM(C109:F109)</f>
        <v>0</v>
      </c>
      <c r="H109" s="99"/>
      <c r="I109" s="99"/>
      <c r="J109" s="99"/>
      <c r="K109" s="100"/>
    </row>
    <row r="110" spans="1:11" x14ac:dyDescent="0.25">
      <c r="A110" s="582"/>
      <c r="B110" s="152" t="s">
        <v>100</v>
      </c>
      <c r="C110" s="153"/>
      <c r="D110" s="153"/>
      <c r="E110" s="175">
        <f>SUMIF(CCTSAS[Allocation fonctions],B110,CCTSAS[heures annuelles
selon contrat(s)])</f>
        <v>0</v>
      </c>
      <c r="F110" s="175">
        <f>SUMIF(SalCommune[Allocations fonctions],B110,SalCommune[heures annuelles
selon contrat(s)])</f>
        <v>0</v>
      </c>
      <c r="G110" s="180">
        <f t="shared" ref="G110:G127" si="20">SUM(C110:F110)</f>
        <v>0</v>
      </c>
      <c r="H110" s="99"/>
      <c r="I110" s="99"/>
      <c r="J110" s="99"/>
      <c r="K110" s="100"/>
    </row>
    <row r="111" spans="1:11" x14ac:dyDescent="0.25">
      <c r="A111" s="582"/>
      <c r="B111" s="152" t="s">
        <v>101</v>
      </c>
      <c r="C111" s="153"/>
      <c r="D111" s="153"/>
      <c r="E111" s="175">
        <f>SUMIF(CCTSAS[Allocation fonctions],B111,CCTSAS[heures annuelles
selon contrat(s)])</f>
        <v>0</v>
      </c>
      <c r="F111" s="175">
        <f>SUMIF(SalCommune[Allocations fonctions],B111,SalCommune[heures annuelles
selon contrat(s)])</f>
        <v>0</v>
      </c>
      <c r="G111" s="180">
        <f t="shared" si="20"/>
        <v>0</v>
      </c>
      <c r="H111" s="99"/>
      <c r="I111" s="99"/>
      <c r="J111" s="99"/>
      <c r="K111" s="100"/>
    </row>
    <row r="112" spans="1:11" x14ac:dyDescent="0.25">
      <c r="A112" s="582"/>
      <c r="B112" s="152" t="s">
        <v>102</v>
      </c>
      <c r="C112" s="153"/>
      <c r="D112" s="153"/>
      <c r="E112" s="175">
        <f>SUMIF(CCTSAS[Allocation fonctions],B112,CCTSAS[heures annuelles
selon contrat(s)])</f>
        <v>0</v>
      </c>
      <c r="F112" s="175">
        <f>SUMIF(SalCommune[Allocations fonctions],B112,SalCommune[heures annuelles
selon contrat(s)])</f>
        <v>0</v>
      </c>
      <c r="G112" s="180">
        <f t="shared" si="20"/>
        <v>0</v>
      </c>
      <c r="H112" s="99"/>
      <c r="I112" s="99"/>
      <c r="J112" s="99"/>
      <c r="K112" s="100"/>
    </row>
    <row r="113" spans="1:11" x14ac:dyDescent="0.25">
      <c r="A113" s="582"/>
      <c r="B113" s="152" t="s">
        <v>103</v>
      </c>
      <c r="C113" s="153"/>
      <c r="D113" s="153"/>
      <c r="E113" s="175">
        <f>SUMIF(CCTSAS[Allocation fonctions],B113,CCTSAS[heures annuelles
selon contrat(s)])</f>
        <v>0</v>
      </c>
      <c r="F113" s="175">
        <f>SUMIF(SalCommune[Allocations fonctions],B113,SalCommune[heures annuelles
selon contrat(s)])</f>
        <v>0</v>
      </c>
      <c r="G113" s="180">
        <f t="shared" si="20"/>
        <v>0</v>
      </c>
      <c r="H113" s="99"/>
      <c r="I113" s="99"/>
      <c r="J113" s="99"/>
      <c r="K113" s="100"/>
    </row>
    <row r="114" spans="1:11" x14ac:dyDescent="0.25">
      <c r="A114" s="582"/>
      <c r="B114" s="152" t="s">
        <v>117</v>
      </c>
      <c r="C114" s="153"/>
      <c r="D114" s="153"/>
      <c r="E114" s="175">
        <f>SUMIF(CCTSAS[Allocation fonctions],B114,CCTSAS[heures annuelles
selon contrat(s)])</f>
        <v>0</v>
      </c>
      <c r="F114" s="175">
        <f>SUMIF(SalCommune[Allocations fonctions],B114,SalCommune[heures annuelles
selon contrat(s)])</f>
        <v>0</v>
      </c>
      <c r="G114" s="180">
        <f t="shared" si="20"/>
        <v>0</v>
      </c>
      <c r="H114" s="99"/>
      <c r="I114" s="99"/>
      <c r="J114" s="99"/>
      <c r="K114" s="100"/>
    </row>
    <row r="115" spans="1:11" x14ac:dyDescent="0.25">
      <c r="A115" s="582"/>
      <c r="B115" s="152" t="s">
        <v>104</v>
      </c>
      <c r="C115" s="153"/>
      <c r="D115" s="153"/>
      <c r="E115" s="175">
        <f>SUMIF(CCTSAS[Allocation fonctions],B115,CCTSAS[heures annuelles
selon contrat(s)])</f>
        <v>0</v>
      </c>
      <c r="F115" s="175">
        <f>SUMIF(SalCommune[Allocations fonctions],B115,SalCommune[heures annuelles
selon contrat(s)])</f>
        <v>0</v>
      </c>
      <c r="G115" s="180">
        <f t="shared" si="20"/>
        <v>0</v>
      </c>
      <c r="H115" s="99"/>
      <c r="I115" s="99"/>
      <c r="J115" s="99"/>
      <c r="K115" s="100"/>
    </row>
    <row r="116" spans="1:11" x14ac:dyDescent="0.25">
      <c r="A116" s="582"/>
      <c r="B116" s="152" t="s">
        <v>105</v>
      </c>
      <c r="C116" s="153"/>
      <c r="D116" s="153"/>
      <c r="E116" s="175">
        <f>SUMIF(CCTSAS[Allocation fonctions],B116,CCTSAS[heures annuelles
selon contrat(s)])</f>
        <v>0</v>
      </c>
      <c r="F116" s="175">
        <f>SUMIF(SalCommune[Allocations fonctions],B116,SalCommune[heures annuelles
selon contrat(s)])</f>
        <v>0</v>
      </c>
      <c r="G116" s="180">
        <f t="shared" si="20"/>
        <v>0</v>
      </c>
      <c r="H116" s="99"/>
      <c r="I116" s="99"/>
      <c r="J116" s="99"/>
      <c r="K116" s="100"/>
    </row>
    <row r="117" spans="1:11" x14ac:dyDescent="0.25">
      <c r="A117" s="582"/>
      <c r="B117" s="152" t="s">
        <v>106</v>
      </c>
      <c r="C117" s="153"/>
      <c r="D117" s="153"/>
      <c r="E117" s="175">
        <f>SUMIF(CCTSAS[Allocation fonctions],B117,CCTSAS[heures annuelles
selon contrat(s)])</f>
        <v>0</v>
      </c>
      <c r="F117" s="175">
        <f>SUMIF(SalCommune[Allocations fonctions],B117,SalCommune[heures annuelles
selon contrat(s)])</f>
        <v>0</v>
      </c>
      <c r="G117" s="180">
        <f t="shared" si="20"/>
        <v>0</v>
      </c>
      <c r="H117" s="99"/>
      <c r="I117" s="99"/>
      <c r="J117" s="99"/>
      <c r="K117" s="100"/>
    </row>
    <row r="118" spans="1:11" x14ac:dyDescent="0.25">
      <c r="A118" s="582"/>
      <c r="B118" s="152" t="s">
        <v>107</v>
      </c>
      <c r="C118" s="153"/>
      <c r="D118" s="153"/>
      <c r="E118" s="175">
        <f>SUMIF(CCTSAS[Allocation fonctions],B118,CCTSAS[heures annuelles
selon contrat(s)])</f>
        <v>0</v>
      </c>
      <c r="F118" s="175">
        <f>SUMIF(SalCommune[Allocations fonctions],B118,SalCommune[heures annuelles
selon contrat(s)])</f>
        <v>0</v>
      </c>
      <c r="G118" s="180">
        <f t="shared" si="20"/>
        <v>0</v>
      </c>
      <c r="H118" s="99"/>
      <c r="I118" s="99"/>
      <c r="J118" s="99"/>
      <c r="K118" s="100"/>
    </row>
    <row r="119" spans="1:11" x14ac:dyDescent="0.25">
      <c r="A119" s="582"/>
      <c r="B119" s="152" t="s">
        <v>108</v>
      </c>
      <c r="C119" s="153"/>
      <c r="D119" s="153"/>
      <c r="E119" s="175">
        <f>SUMIF(CCTSAS[Allocation fonctions],B119,CCTSAS[heures annuelles
selon contrat(s)])</f>
        <v>0</v>
      </c>
      <c r="F119" s="175">
        <f>SUMIF(SalCommune[Allocations fonctions],B119,SalCommune[heures annuelles
selon contrat(s)])</f>
        <v>0</v>
      </c>
      <c r="G119" s="180">
        <f t="shared" si="20"/>
        <v>0</v>
      </c>
      <c r="H119" s="99"/>
      <c r="I119" s="99"/>
      <c r="J119" s="99"/>
      <c r="K119" s="100"/>
    </row>
    <row r="120" spans="1:11" x14ac:dyDescent="0.25">
      <c r="A120" s="582"/>
      <c r="B120" s="152" t="s">
        <v>109</v>
      </c>
      <c r="C120" s="153"/>
      <c r="D120" s="153"/>
      <c r="E120" s="175">
        <f>SUMIF(CCTSAS[Allocation fonctions],B120,CCTSAS[heures annuelles
selon contrat(s)])</f>
        <v>0</v>
      </c>
      <c r="F120" s="175">
        <f>SUMIF(SalCommune[Allocations fonctions],B120,SalCommune[heures annuelles
selon contrat(s)])</f>
        <v>0</v>
      </c>
      <c r="G120" s="180">
        <f t="shared" si="20"/>
        <v>0</v>
      </c>
      <c r="H120" s="99"/>
      <c r="I120" s="99"/>
      <c r="J120" s="99"/>
      <c r="K120" s="100"/>
    </row>
    <row r="121" spans="1:11" x14ac:dyDescent="0.25">
      <c r="A121" s="582"/>
      <c r="B121" s="152" t="s">
        <v>110</v>
      </c>
      <c r="C121" s="153"/>
      <c r="D121" s="153"/>
      <c r="E121" s="175">
        <f>SUMIF(CCTSAS[Allocation fonctions],B121,CCTSAS[heures annuelles
selon contrat(s)])</f>
        <v>0</v>
      </c>
      <c r="F121" s="175">
        <f>SUMIF(SalCommune[Allocations fonctions],B121,SalCommune[heures annuelles
selon contrat(s)])</f>
        <v>0</v>
      </c>
      <c r="G121" s="180">
        <f t="shared" si="20"/>
        <v>0</v>
      </c>
      <c r="H121" s="99"/>
      <c r="I121" s="99"/>
      <c r="J121" s="99"/>
      <c r="K121" s="100"/>
    </row>
    <row r="122" spans="1:11" x14ac:dyDescent="0.25">
      <c r="A122" s="582"/>
      <c r="B122" s="152" t="s">
        <v>111</v>
      </c>
      <c r="C122" s="153"/>
      <c r="D122" s="153"/>
      <c r="E122" s="175">
        <f>SUMIF(CCTSAS[Allocation fonctions],B122,CCTSAS[heures annuelles
selon contrat(s)])</f>
        <v>0</v>
      </c>
      <c r="F122" s="175">
        <f>SUMIF(SalCommune[Allocations fonctions],B122,SalCommune[heures annuelles
selon contrat(s)])</f>
        <v>0</v>
      </c>
      <c r="G122" s="180">
        <f t="shared" si="20"/>
        <v>0</v>
      </c>
      <c r="H122" s="99"/>
      <c r="I122" s="99"/>
      <c r="J122" s="99"/>
      <c r="K122" s="100"/>
    </row>
    <row r="123" spans="1:11" x14ac:dyDescent="0.25">
      <c r="A123" s="582"/>
      <c r="B123" s="152" t="s">
        <v>112</v>
      </c>
      <c r="C123" s="153"/>
      <c r="D123" s="153"/>
      <c r="E123" s="175">
        <f>SUMIF(CCTSAS[Allocation fonctions],B123,CCTSAS[heures annuelles
selon contrat(s)])</f>
        <v>0</v>
      </c>
      <c r="F123" s="175">
        <f>SUMIF(SalCommune[Allocations fonctions],B123,SalCommune[heures annuelles
selon contrat(s)])</f>
        <v>0</v>
      </c>
      <c r="G123" s="180">
        <f t="shared" si="20"/>
        <v>0</v>
      </c>
      <c r="H123" s="99"/>
      <c r="I123" s="99"/>
      <c r="J123" s="99"/>
      <c r="K123" s="100"/>
    </row>
    <row r="124" spans="1:11" x14ac:dyDescent="0.25">
      <c r="A124" s="582"/>
      <c r="B124" s="152" t="s">
        <v>113</v>
      </c>
      <c r="C124" s="153"/>
      <c r="D124" s="153"/>
      <c r="E124" s="175">
        <f>SUMIF(CCTSAS[Allocation fonctions],B124,CCTSAS[heures annuelles
selon contrat(s)])</f>
        <v>0</v>
      </c>
      <c r="F124" s="175">
        <f>SUMIF(SalCommune[Allocations fonctions],B124,SalCommune[heures annuelles
selon contrat(s)])</f>
        <v>0</v>
      </c>
      <c r="G124" s="180">
        <f t="shared" si="20"/>
        <v>0</v>
      </c>
      <c r="H124" s="99"/>
      <c r="I124" s="99"/>
      <c r="J124" s="99"/>
      <c r="K124" s="100"/>
    </row>
    <row r="125" spans="1:11" x14ac:dyDescent="0.25">
      <c r="A125" s="582"/>
      <c r="B125" s="152" t="s">
        <v>114</v>
      </c>
      <c r="C125" s="153"/>
      <c r="D125" s="153"/>
      <c r="E125" s="175">
        <f>SUMIF(CCTSAS[Allocation fonctions],B125,CCTSAS[heures annuelles
selon contrat(s)])</f>
        <v>0</v>
      </c>
      <c r="F125" s="175">
        <f>SUMIF(SalCommune[Allocations fonctions],B125,SalCommune[heures annuelles
selon contrat(s)])</f>
        <v>0</v>
      </c>
      <c r="G125" s="180">
        <f t="shared" si="20"/>
        <v>0</v>
      </c>
      <c r="H125" s="99"/>
      <c r="I125" s="99"/>
      <c r="J125" s="99"/>
      <c r="K125" s="100"/>
    </row>
    <row r="126" spans="1:11" x14ac:dyDescent="0.25">
      <c r="A126" s="582"/>
      <c r="B126" s="152" t="s">
        <v>115</v>
      </c>
      <c r="C126" s="153"/>
      <c r="D126" s="153"/>
      <c r="E126" s="175">
        <f>SUMIF(CCTSAS[Allocation fonctions],B126,CCTSAS[heures annuelles
selon contrat(s)])</f>
        <v>0</v>
      </c>
      <c r="F126" s="175">
        <f>SUMIF(SalCommune[Allocations fonctions],B126,SalCommune[heures annuelles
selon contrat(s)])</f>
        <v>0</v>
      </c>
      <c r="G126" s="180">
        <f t="shared" si="20"/>
        <v>0</v>
      </c>
      <c r="H126" s="99"/>
      <c r="I126" s="99"/>
      <c r="J126" s="99"/>
      <c r="K126" s="100"/>
    </row>
    <row r="127" spans="1:11" x14ac:dyDescent="0.25">
      <c r="A127" s="582"/>
      <c r="B127" s="154" t="s">
        <v>116</v>
      </c>
      <c r="C127" s="155"/>
      <c r="D127" s="155"/>
      <c r="E127" s="181">
        <f>SUMIF(CCTSAS[Allocation fonctions],B127,CCTSAS[heures annuelles
selon contrat(s)])</f>
        <v>0</v>
      </c>
      <c r="F127" s="181">
        <f>SUMIF(SalCommune[Allocations fonctions],B127,SalCommune[heures annuelles
selon contrat(s)])</f>
        <v>0</v>
      </c>
      <c r="G127" s="182">
        <f t="shared" si="20"/>
        <v>0</v>
      </c>
      <c r="H127" s="99"/>
      <c r="I127" s="99"/>
      <c r="J127" s="99"/>
      <c r="K127" s="100"/>
    </row>
    <row r="128" spans="1:11" x14ac:dyDescent="0.25">
      <c r="A128" s="582"/>
      <c r="B128" s="145" t="s">
        <v>464</v>
      </c>
      <c r="C128" s="143"/>
      <c r="D128" s="143"/>
      <c r="E128" s="183">
        <f t="shared" ref="E128:G128" si="21">SUM(E109:E127)</f>
        <v>0</v>
      </c>
      <c r="F128" s="183">
        <f t="shared" si="21"/>
        <v>0</v>
      </c>
      <c r="G128" s="184">
        <f t="shared" si="21"/>
        <v>0</v>
      </c>
      <c r="H128" s="79"/>
      <c r="I128" s="79"/>
      <c r="J128" s="79"/>
      <c r="K128" s="102"/>
    </row>
    <row r="129" spans="1:11" x14ac:dyDescent="0.25">
      <c r="A129" s="582"/>
      <c r="B129" s="142" t="s">
        <v>539</v>
      </c>
      <c r="C129" s="135"/>
      <c r="D129" s="135"/>
      <c r="E129" s="135"/>
      <c r="F129" s="135"/>
      <c r="G129" s="135"/>
      <c r="H129" s="135"/>
      <c r="I129" s="135"/>
      <c r="J129" s="135"/>
      <c r="K129" s="136"/>
    </row>
    <row r="130" spans="1:11" x14ac:dyDescent="0.25">
      <c r="A130" s="582"/>
      <c r="B130" s="146" t="s">
        <v>262</v>
      </c>
      <c r="C130" s="583" t="s">
        <v>540</v>
      </c>
      <c r="D130" s="584"/>
      <c r="E130" s="149" t="s">
        <v>541</v>
      </c>
      <c r="F130" s="149" t="s">
        <v>542</v>
      </c>
      <c r="G130" s="149" t="s">
        <v>538</v>
      </c>
      <c r="H130" s="99"/>
      <c r="I130" s="99"/>
      <c r="J130" s="99"/>
      <c r="K130" s="100"/>
    </row>
    <row r="131" spans="1:11" x14ac:dyDescent="0.25">
      <c r="A131" s="582"/>
      <c r="B131" s="150" t="s">
        <v>99</v>
      </c>
      <c r="C131" s="178">
        <f>SUMIF(CCTSAS[Allocation fonctions],B131,CCTSAS[Heures de maladie])+SUMIF(CCTSAS[Allocation fonctions],B131,CCTSAS[Autres absences motivées])</f>
        <v>0</v>
      </c>
      <c r="D131" s="178"/>
      <c r="E131" s="178">
        <f>SUMIF(SalCommune[Allocations fonctions],B131,SalCommune[Heures de maladie])</f>
        <v>0</v>
      </c>
      <c r="F131" s="178">
        <f>SUMIF(SalCommune[Allocations fonctions],B131,SalCommune[Heures de congé de maternité])</f>
        <v>0</v>
      </c>
      <c r="G131" s="179">
        <f>SUM(C131:F131)</f>
        <v>0</v>
      </c>
      <c r="H131" s="99"/>
      <c r="I131" s="99"/>
      <c r="J131" s="99"/>
      <c r="K131" s="100"/>
    </row>
    <row r="132" spans="1:11" x14ac:dyDescent="0.25">
      <c r="A132" s="582"/>
      <c r="B132" s="152" t="s">
        <v>100</v>
      </c>
      <c r="C132" s="175">
        <f>SUMIF(CCTSAS[Allocation fonctions],B132,CCTSAS[Heures de maladie])+SUMIF(CCTSAS[Allocation fonctions],B132,CCTSAS[Autres absences motivées])</f>
        <v>0</v>
      </c>
      <c r="D132" s="175"/>
      <c r="E132" s="175">
        <f>SUMIF(SalCommune[Allocations fonctions],B132,SalCommune[Heures de maladie])</f>
        <v>0</v>
      </c>
      <c r="F132" s="175">
        <f>SUMIF(SalCommune[Allocations fonctions],B132,SalCommune[Heures de congé de maternité])</f>
        <v>0</v>
      </c>
      <c r="G132" s="180">
        <f t="shared" ref="G132:G149" si="22">SUM(C132:F132)</f>
        <v>0</v>
      </c>
      <c r="H132" s="99"/>
      <c r="I132" s="99"/>
      <c r="J132" s="99"/>
      <c r="K132" s="100"/>
    </row>
    <row r="133" spans="1:11" x14ac:dyDescent="0.25">
      <c r="A133" s="582"/>
      <c r="B133" s="152" t="s">
        <v>101</v>
      </c>
      <c r="C133" s="175">
        <f>SUMIF(CCTSAS[Allocation fonctions],B133,CCTSAS[Heures de maladie])+SUMIF(CCTSAS[Allocation fonctions],B133,CCTSAS[Autres absences motivées])</f>
        <v>0</v>
      </c>
      <c r="D133" s="175"/>
      <c r="E133" s="175">
        <f>SUMIF(SalCommune[Allocations fonctions],B133,SalCommune[Heures de maladie])</f>
        <v>0</v>
      </c>
      <c r="F133" s="175">
        <f>SUMIF(SalCommune[Allocations fonctions],B133,SalCommune[Heures de congé de maternité])</f>
        <v>0</v>
      </c>
      <c r="G133" s="180">
        <f t="shared" si="22"/>
        <v>0</v>
      </c>
      <c r="H133" s="99"/>
      <c r="I133" s="99"/>
      <c r="J133" s="99"/>
      <c r="K133" s="100"/>
    </row>
    <row r="134" spans="1:11" x14ac:dyDescent="0.25">
      <c r="A134" s="582"/>
      <c r="B134" s="152" t="s">
        <v>102</v>
      </c>
      <c r="C134" s="175">
        <f>SUMIF(CCTSAS[Allocation fonctions],B134,CCTSAS[Heures de maladie])+SUMIF(CCTSAS[Allocation fonctions],B134,CCTSAS[Autres absences motivées])</f>
        <v>0</v>
      </c>
      <c r="D134" s="175"/>
      <c r="E134" s="175">
        <f>SUMIF(SalCommune[Allocations fonctions],B134,SalCommune[Heures de maladie])</f>
        <v>0</v>
      </c>
      <c r="F134" s="175">
        <f>SUMIF(SalCommune[Allocations fonctions],B134,SalCommune[Heures de congé de maternité])</f>
        <v>0</v>
      </c>
      <c r="G134" s="180">
        <f t="shared" si="22"/>
        <v>0</v>
      </c>
      <c r="H134" s="99"/>
      <c r="I134" s="99"/>
      <c r="J134" s="99"/>
      <c r="K134" s="100"/>
    </row>
    <row r="135" spans="1:11" x14ac:dyDescent="0.25">
      <c r="A135" s="582"/>
      <c r="B135" s="152" t="s">
        <v>103</v>
      </c>
      <c r="C135" s="175">
        <f>SUMIF(CCTSAS[Allocation fonctions],B135,CCTSAS[Heures de maladie])+SUMIF(CCTSAS[Allocation fonctions],B135,CCTSAS[Autres absences motivées])</f>
        <v>0</v>
      </c>
      <c r="D135" s="175"/>
      <c r="E135" s="175">
        <f>SUMIF(SalCommune[Allocations fonctions],B135,SalCommune[Heures de maladie])</f>
        <v>0</v>
      </c>
      <c r="F135" s="175">
        <f>SUMIF(SalCommune[Allocations fonctions],B135,SalCommune[Heures de congé de maternité])</f>
        <v>0</v>
      </c>
      <c r="G135" s="180">
        <f t="shared" si="22"/>
        <v>0</v>
      </c>
      <c r="H135" s="99"/>
      <c r="I135" s="99"/>
      <c r="J135" s="99"/>
      <c r="K135" s="100"/>
    </row>
    <row r="136" spans="1:11" x14ac:dyDescent="0.25">
      <c r="A136" s="582"/>
      <c r="B136" s="152" t="s">
        <v>117</v>
      </c>
      <c r="C136" s="175">
        <f>SUMIF(CCTSAS[Allocation fonctions],B136,CCTSAS[Heures de maladie])+SUMIF(CCTSAS[Allocation fonctions],B136,CCTSAS[Autres absences motivées])</f>
        <v>0</v>
      </c>
      <c r="D136" s="175"/>
      <c r="E136" s="175">
        <f>SUMIF(SalCommune[Allocations fonctions],B136,SalCommune[Heures de maladie])</f>
        <v>0</v>
      </c>
      <c r="F136" s="175">
        <f>SUMIF(SalCommune[Allocations fonctions],B136,SalCommune[Heures de congé de maternité])</f>
        <v>0</v>
      </c>
      <c r="G136" s="180">
        <f t="shared" si="22"/>
        <v>0</v>
      </c>
      <c r="H136" s="99"/>
      <c r="I136" s="99"/>
      <c r="J136" s="99"/>
      <c r="K136" s="100"/>
    </row>
    <row r="137" spans="1:11" x14ac:dyDescent="0.25">
      <c r="A137" s="582"/>
      <c r="B137" s="152" t="s">
        <v>104</v>
      </c>
      <c r="C137" s="175">
        <f>SUMIF(CCTSAS[Allocation fonctions],B137,CCTSAS[Heures de maladie])+SUMIF(CCTSAS[Allocation fonctions],B137,CCTSAS[Autres absences motivées])</f>
        <v>0</v>
      </c>
      <c r="D137" s="175"/>
      <c r="E137" s="175">
        <f>SUMIF(SalCommune[Allocations fonctions],B137,SalCommune[Heures de maladie])</f>
        <v>0</v>
      </c>
      <c r="F137" s="175">
        <f>SUMIF(SalCommune[Allocations fonctions],B137,SalCommune[Heures de congé de maternité])</f>
        <v>0</v>
      </c>
      <c r="G137" s="180">
        <f t="shared" si="22"/>
        <v>0</v>
      </c>
      <c r="H137" s="99"/>
      <c r="I137" s="99"/>
      <c r="J137" s="99"/>
      <c r="K137" s="100"/>
    </row>
    <row r="138" spans="1:11" x14ac:dyDescent="0.25">
      <c r="A138" s="582"/>
      <c r="B138" s="152" t="s">
        <v>105</v>
      </c>
      <c r="C138" s="175">
        <f>SUMIF(CCTSAS[Allocation fonctions],B138,CCTSAS[Heures de maladie])+SUMIF(CCTSAS[Allocation fonctions],B138,CCTSAS[Autres absences motivées])</f>
        <v>0</v>
      </c>
      <c r="D138" s="175"/>
      <c r="E138" s="175">
        <f>SUMIF(SalCommune[Allocations fonctions],B138,SalCommune[Heures de maladie])</f>
        <v>0</v>
      </c>
      <c r="F138" s="175">
        <f>SUMIF(SalCommune[Allocations fonctions],B138,SalCommune[Heures de congé de maternité])</f>
        <v>0</v>
      </c>
      <c r="G138" s="180">
        <f t="shared" si="22"/>
        <v>0</v>
      </c>
      <c r="H138" s="99"/>
      <c r="I138" s="99"/>
      <c r="J138" s="99"/>
      <c r="K138" s="100"/>
    </row>
    <row r="139" spans="1:11" x14ac:dyDescent="0.25">
      <c r="A139" s="582"/>
      <c r="B139" s="152" t="s">
        <v>106</v>
      </c>
      <c r="C139" s="175">
        <f>SUMIF(CCTSAS[Allocation fonctions],B139,CCTSAS[Heures de maladie])+SUMIF(CCTSAS[Allocation fonctions],B139,CCTSAS[Autres absences motivées])</f>
        <v>0</v>
      </c>
      <c r="D139" s="175"/>
      <c r="E139" s="175">
        <f>SUMIF(SalCommune[Allocations fonctions],B139,SalCommune[Heures de maladie])</f>
        <v>0</v>
      </c>
      <c r="F139" s="175">
        <f>SUMIF(SalCommune[Allocations fonctions],B139,SalCommune[Heures de congé de maternité])</f>
        <v>0</v>
      </c>
      <c r="G139" s="180">
        <f t="shared" si="22"/>
        <v>0</v>
      </c>
      <c r="H139" s="99"/>
      <c r="I139" s="99"/>
      <c r="J139" s="99"/>
      <c r="K139" s="100"/>
    </row>
    <row r="140" spans="1:11" x14ac:dyDescent="0.25">
      <c r="A140" s="582"/>
      <c r="B140" s="152" t="s">
        <v>107</v>
      </c>
      <c r="C140" s="175">
        <f>SUMIF(CCTSAS[Allocation fonctions],B140,CCTSAS[Heures de maladie])+SUMIF(CCTSAS[Allocation fonctions],B140,CCTSAS[Autres absences motivées])</f>
        <v>0</v>
      </c>
      <c r="D140" s="175"/>
      <c r="E140" s="175">
        <f>SUMIF(SalCommune[Allocations fonctions],B140,SalCommune[Heures de maladie])</f>
        <v>0</v>
      </c>
      <c r="F140" s="175">
        <f>SUMIF(SalCommune[Allocations fonctions],B140,SalCommune[Heures de congé de maternité])</f>
        <v>0</v>
      </c>
      <c r="G140" s="180">
        <f t="shared" si="22"/>
        <v>0</v>
      </c>
      <c r="H140" s="99"/>
      <c r="I140" s="99"/>
      <c r="J140" s="99"/>
      <c r="K140" s="100"/>
    </row>
    <row r="141" spans="1:11" x14ac:dyDescent="0.25">
      <c r="A141" s="582"/>
      <c r="B141" s="152" t="s">
        <v>108</v>
      </c>
      <c r="C141" s="175">
        <f>SUMIF(CCTSAS[Allocation fonctions],B141,CCTSAS[Heures de maladie])+SUMIF(CCTSAS[Allocation fonctions],B141,CCTSAS[Autres absences motivées])</f>
        <v>0</v>
      </c>
      <c r="D141" s="175"/>
      <c r="E141" s="175">
        <f>SUMIF(SalCommune[Allocations fonctions],B141,SalCommune[Heures de maladie])</f>
        <v>0</v>
      </c>
      <c r="F141" s="175">
        <f>SUMIF(SalCommune[Allocations fonctions],B141,SalCommune[Heures de congé de maternité])</f>
        <v>0</v>
      </c>
      <c r="G141" s="180">
        <f t="shared" si="22"/>
        <v>0</v>
      </c>
      <c r="H141" s="99"/>
      <c r="I141" s="99"/>
      <c r="J141" s="99"/>
      <c r="K141" s="100"/>
    </row>
    <row r="142" spans="1:11" x14ac:dyDescent="0.25">
      <c r="A142" s="582"/>
      <c r="B142" s="152" t="s">
        <v>109</v>
      </c>
      <c r="C142" s="175">
        <f>SUMIF(CCTSAS[Allocation fonctions],B142,CCTSAS[Heures de maladie])+SUMIF(CCTSAS[Allocation fonctions],B142,CCTSAS[Autres absences motivées])</f>
        <v>0</v>
      </c>
      <c r="D142" s="175"/>
      <c r="E142" s="175">
        <f>SUMIF(SalCommune[Allocations fonctions],B142,SalCommune[Heures de maladie])</f>
        <v>0</v>
      </c>
      <c r="F142" s="175">
        <f>SUMIF(SalCommune[Allocations fonctions],B142,SalCommune[Heures de congé de maternité])</f>
        <v>0</v>
      </c>
      <c r="G142" s="180">
        <f t="shared" si="22"/>
        <v>0</v>
      </c>
      <c r="H142" s="99"/>
      <c r="I142" s="99"/>
      <c r="J142" s="99"/>
      <c r="K142" s="100"/>
    </row>
    <row r="143" spans="1:11" x14ac:dyDescent="0.25">
      <c r="A143" s="582"/>
      <c r="B143" s="152" t="s">
        <v>110</v>
      </c>
      <c r="C143" s="175">
        <f>SUMIF(CCTSAS[Allocation fonctions],B143,CCTSAS[Heures de maladie])+SUMIF(CCTSAS[Allocation fonctions],B143,CCTSAS[Autres absences motivées])</f>
        <v>0</v>
      </c>
      <c r="D143" s="175"/>
      <c r="E143" s="175">
        <f>SUMIF(SalCommune[Allocations fonctions],B143,SalCommune[Heures de maladie])</f>
        <v>0</v>
      </c>
      <c r="F143" s="175">
        <f>SUMIF(SalCommune[Allocations fonctions],B143,SalCommune[Heures de congé de maternité])</f>
        <v>0</v>
      </c>
      <c r="G143" s="180">
        <f t="shared" si="22"/>
        <v>0</v>
      </c>
      <c r="H143" s="99"/>
      <c r="I143" s="99"/>
      <c r="J143" s="99"/>
      <c r="K143" s="100"/>
    </row>
    <row r="144" spans="1:11" x14ac:dyDescent="0.25">
      <c r="A144" s="582"/>
      <c r="B144" s="152" t="s">
        <v>111</v>
      </c>
      <c r="C144" s="175">
        <f>SUMIF(CCTSAS[Allocation fonctions],B144,CCTSAS[Heures de maladie])+SUMIF(CCTSAS[Allocation fonctions],B144,CCTSAS[Autres absences motivées])</f>
        <v>0</v>
      </c>
      <c r="D144" s="175"/>
      <c r="E144" s="175">
        <f>SUMIF(SalCommune[Allocations fonctions],B144,SalCommune[Heures de maladie])</f>
        <v>0</v>
      </c>
      <c r="F144" s="175">
        <f>SUMIF(SalCommune[Allocations fonctions],B144,SalCommune[Heures de congé de maternité])</f>
        <v>0</v>
      </c>
      <c r="G144" s="180">
        <f t="shared" si="22"/>
        <v>0</v>
      </c>
      <c r="H144" s="99"/>
      <c r="I144" s="99"/>
      <c r="J144" s="99"/>
      <c r="K144" s="100"/>
    </row>
    <row r="145" spans="1:11" x14ac:dyDescent="0.25">
      <c r="A145" s="582"/>
      <c r="B145" s="152" t="s">
        <v>112</v>
      </c>
      <c r="C145" s="175">
        <f>SUMIF(CCTSAS[Allocation fonctions],B145,CCTSAS[Heures de maladie])+SUMIF(CCTSAS[Allocation fonctions],B145,CCTSAS[Autres absences motivées])</f>
        <v>0</v>
      </c>
      <c r="D145" s="175"/>
      <c r="E145" s="175">
        <f>SUMIF(SalCommune[Allocations fonctions],B145,SalCommune[Heures de maladie])</f>
        <v>0</v>
      </c>
      <c r="F145" s="175">
        <f>SUMIF(SalCommune[Allocations fonctions],B145,SalCommune[Heures de congé de maternité])</f>
        <v>0</v>
      </c>
      <c r="G145" s="180">
        <f t="shared" si="22"/>
        <v>0</v>
      </c>
      <c r="H145" s="99"/>
      <c r="I145" s="99"/>
      <c r="J145" s="99"/>
      <c r="K145" s="100"/>
    </row>
    <row r="146" spans="1:11" x14ac:dyDescent="0.25">
      <c r="A146" s="582"/>
      <c r="B146" s="152" t="s">
        <v>113</v>
      </c>
      <c r="C146" s="175">
        <f>SUMIF(CCTSAS[Allocation fonctions],B146,CCTSAS[Heures de maladie])+SUMIF(CCTSAS[Allocation fonctions],B146,CCTSAS[Autres absences motivées])</f>
        <v>0</v>
      </c>
      <c r="D146" s="175"/>
      <c r="E146" s="175">
        <f>SUMIF(SalCommune[Allocations fonctions],B146,SalCommune[Heures de maladie])</f>
        <v>0</v>
      </c>
      <c r="F146" s="175">
        <f>SUMIF(SalCommune[Allocations fonctions],B146,SalCommune[Heures de congé de maternité])</f>
        <v>0</v>
      </c>
      <c r="G146" s="180">
        <f t="shared" si="22"/>
        <v>0</v>
      </c>
      <c r="H146" s="99"/>
      <c r="I146" s="99"/>
      <c r="J146" s="99"/>
      <c r="K146" s="100"/>
    </row>
    <row r="147" spans="1:11" x14ac:dyDescent="0.25">
      <c r="A147" s="582"/>
      <c r="B147" s="152" t="s">
        <v>114</v>
      </c>
      <c r="C147" s="175">
        <f>SUMIF(CCTSAS[Allocation fonctions],B147,CCTSAS[Heures de maladie])+SUMIF(CCTSAS[Allocation fonctions],B147,CCTSAS[Autres absences motivées])</f>
        <v>0</v>
      </c>
      <c r="D147" s="175"/>
      <c r="E147" s="175">
        <f>SUMIF(SalCommune[Allocations fonctions],B147,SalCommune[Heures de maladie])</f>
        <v>0</v>
      </c>
      <c r="F147" s="175">
        <f>SUMIF(SalCommune[Allocations fonctions],B147,SalCommune[Heures de congé de maternité])</f>
        <v>0</v>
      </c>
      <c r="G147" s="180">
        <f t="shared" si="22"/>
        <v>0</v>
      </c>
      <c r="H147" s="99"/>
      <c r="I147" s="99"/>
      <c r="J147" s="99"/>
      <c r="K147" s="100"/>
    </row>
    <row r="148" spans="1:11" x14ac:dyDescent="0.25">
      <c r="A148" s="582"/>
      <c r="B148" s="152" t="s">
        <v>115</v>
      </c>
      <c r="C148" s="175">
        <f>SUMIF(CCTSAS[Allocation fonctions],B148,CCTSAS[Heures de maladie])+SUMIF(CCTSAS[Allocation fonctions],B148,CCTSAS[Autres absences motivées])</f>
        <v>0</v>
      </c>
      <c r="D148" s="175"/>
      <c r="E148" s="175">
        <f>SUMIF(SalCommune[Allocations fonctions],B148,SalCommune[Heures de maladie])</f>
        <v>0</v>
      </c>
      <c r="F148" s="175">
        <f>SUMIF(SalCommune[Allocations fonctions],B148,SalCommune[Heures de congé de maternité])</f>
        <v>0</v>
      </c>
      <c r="G148" s="180">
        <f t="shared" si="22"/>
        <v>0</v>
      </c>
      <c r="H148" s="99"/>
      <c r="I148" s="99"/>
      <c r="J148" s="99"/>
      <c r="K148" s="100"/>
    </row>
    <row r="149" spans="1:11" x14ac:dyDescent="0.25">
      <c r="A149" s="582"/>
      <c r="B149" s="154" t="s">
        <v>116</v>
      </c>
      <c r="C149" s="181">
        <f>SUMIF(CCTSAS[Allocation fonctions],B149,CCTSAS[Heures de maladie])+SUMIF(CCTSAS[Allocation fonctions],B149,CCTSAS[Autres absences motivées])</f>
        <v>0</v>
      </c>
      <c r="D149" s="181"/>
      <c r="E149" s="181">
        <f>SUMIF(SalCommune[Allocations fonctions],B149,SalCommune[Heures de maladie])</f>
        <v>0</v>
      </c>
      <c r="F149" s="181">
        <f>SUMIF(SalCommune[Allocations fonctions],B149,SalCommune[Heures de congé de maternité])</f>
        <v>0</v>
      </c>
      <c r="G149" s="182">
        <f t="shared" si="22"/>
        <v>0</v>
      </c>
      <c r="H149" s="99"/>
      <c r="I149" s="99"/>
      <c r="J149" s="99"/>
      <c r="K149" s="100"/>
    </row>
    <row r="150" spans="1:11" x14ac:dyDescent="0.25">
      <c r="A150" s="582"/>
      <c r="B150" s="145" t="s">
        <v>596</v>
      </c>
      <c r="C150" s="183">
        <f t="shared" ref="C150:G150" si="23">SUM(C131:C149)</f>
        <v>0</v>
      </c>
      <c r="D150" s="183"/>
      <c r="E150" s="183">
        <f t="shared" si="23"/>
        <v>0</v>
      </c>
      <c r="F150" s="183">
        <f t="shared" si="23"/>
        <v>0</v>
      </c>
      <c r="G150" s="184">
        <f t="shared" si="23"/>
        <v>0</v>
      </c>
      <c r="H150" s="79"/>
      <c r="I150" s="79"/>
      <c r="J150" s="79"/>
      <c r="K150" s="102"/>
    </row>
    <row r="151" spans="1:11" x14ac:dyDescent="0.25">
      <c r="B151" s="142" t="s">
        <v>548</v>
      </c>
      <c r="C151" s="159"/>
      <c r="D151" s="159"/>
      <c r="E151" s="159"/>
      <c r="F151" s="159"/>
      <c r="G151" s="159"/>
      <c r="H151" s="159"/>
      <c r="I151" s="159"/>
      <c r="J151" s="159"/>
      <c r="K151" s="147"/>
    </row>
    <row r="152" spans="1:11" x14ac:dyDescent="0.25">
      <c r="B152" s="95" t="s">
        <v>549</v>
      </c>
      <c r="C152" s="109">
        <f>COUNTA(InformationSEA[Nom])</f>
        <v>0</v>
      </c>
      <c r="D152" s="96"/>
      <c r="E152" s="96"/>
      <c r="F152" s="96"/>
      <c r="G152" s="96"/>
      <c r="H152" s="96"/>
      <c r="I152" s="96"/>
      <c r="J152" s="96"/>
      <c r="K152" s="97"/>
    </row>
    <row r="153" spans="1:11" x14ac:dyDescent="0.25">
      <c r="B153" s="98" t="s">
        <v>543</v>
      </c>
      <c r="C153" s="111">
        <f>'Information générales 2'!H6</f>
        <v>0</v>
      </c>
      <c r="D153" s="99"/>
      <c r="E153" s="99"/>
      <c r="F153" s="99"/>
      <c r="G153" s="99"/>
      <c r="H153" s="99"/>
      <c r="I153" s="99"/>
      <c r="J153" s="99"/>
      <c r="K153" s="100"/>
    </row>
    <row r="154" spans="1:11" x14ac:dyDescent="0.25">
      <c r="B154" s="101"/>
      <c r="C154" s="79"/>
      <c r="D154" s="79"/>
      <c r="E154" s="79"/>
      <c r="F154" s="79"/>
      <c r="G154" s="79"/>
      <c r="H154" s="79"/>
      <c r="I154" s="79"/>
      <c r="J154" s="79"/>
      <c r="K154" s="102"/>
    </row>
    <row r="155" spans="1:11" x14ac:dyDescent="0.25">
      <c r="B155" s="142" t="s">
        <v>583</v>
      </c>
      <c r="C155" s="159"/>
      <c r="D155" s="159"/>
      <c r="E155" s="159"/>
      <c r="F155" s="159"/>
      <c r="G155" s="159"/>
      <c r="H155" s="159"/>
      <c r="I155" s="159"/>
      <c r="J155" s="159"/>
      <c r="K155" s="147"/>
    </row>
    <row r="156" spans="1:11" x14ac:dyDescent="0.25">
      <c r="B156" s="95" t="s">
        <v>584</v>
      </c>
      <c r="C156" s="109">
        <f>IF(F69=0,0,IF(F27=0,0,F26/F27))</f>
        <v>0</v>
      </c>
      <c r="D156" s="96"/>
      <c r="E156" s="96" t="s">
        <v>589</v>
      </c>
      <c r="F156" s="405">
        <f>IF(C69=0,0,IF(F28&lt;0.75,0,(F26/0.75)*6))</f>
        <v>0</v>
      </c>
      <c r="G156" s="96"/>
      <c r="H156" s="96"/>
      <c r="I156" s="96"/>
      <c r="J156" s="96"/>
      <c r="K156" s="97"/>
    </row>
    <row r="157" spans="1:11" x14ac:dyDescent="0.25">
      <c r="B157" s="98" t="s">
        <v>585</v>
      </c>
      <c r="C157" s="111">
        <f>IF(F69=0,0,IF(F28&lt;0.75,0,F26/0.75))</f>
        <v>0</v>
      </c>
      <c r="D157" s="99"/>
      <c r="E157" s="99" t="s">
        <v>590</v>
      </c>
      <c r="F157" s="406">
        <f>IF(F156=0,0,C67)</f>
        <v>0</v>
      </c>
      <c r="G157" s="99"/>
      <c r="H157" s="99"/>
      <c r="I157" s="99"/>
      <c r="J157" s="99"/>
      <c r="K157" s="100"/>
    </row>
    <row r="158" spans="1:11" x14ac:dyDescent="0.25">
      <c r="B158" s="98" t="s">
        <v>586</v>
      </c>
      <c r="C158" s="111">
        <f>IF(C156=0,0,(C157/C156)+K23+K25)</f>
        <v>0</v>
      </c>
      <c r="D158" s="99"/>
      <c r="E158" s="99" t="str">
        <f>IF(F158=0,"Aucun Dépassement","Dépassement en €")</f>
        <v>Aucun Dépassement</v>
      </c>
      <c r="F158" s="406">
        <f>IF(F156&gt;F157,0,F156-F157)</f>
        <v>0</v>
      </c>
      <c r="G158" s="99"/>
      <c r="H158" s="99"/>
      <c r="I158" s="99"/>
      <c r="J158" s="99"/>
      <c r="K158" s="100"/>
    </row>
    <row r="159" spans="1:11" x14ac:dyDescent="0.25">
      <c r="B159" s="98" t="s">
        <v>587</v>
      </c>
      <c r="C159" s="111">
        <f>IF(F69=0,0,F67)</f>
        <v>0</v>
      </c>
      <c r="D159" s="99"/>
      <c r="E159" s="99"/>
      <c r="F159" s="406"/>
      <c r="G159" s="99"/>
      <c r="H159" s="99"/>
      <c r="I159" s="99"/>
      <c r="J159" s="99"/>
      <c r="K159" s="100"/>
    </row>
    <row r="160" spans="1:11" x14ac:dyDescent="0.25">
      <c r="B160" s="98" t="str">
        <f>IF(C160=0,"Aucun Dépassement","Dépassement en hrs")</f>
        <v>Aucun Dépassement</v>
      </c>
      <c r="C160" s="111">
        <f>IF(C158-C159&gt;0,0,C158-C159)</f>
        <v>0</v>
      </c>
      <c r="D160" s="99"/>
      <c r="E160" s="99"/>
      <c r="F160" s="406"/>
      <c r="G160" s="99"/>
      <c r="H160" s="99"/>
      <c r="I160" s="99"/>
      <c r="J160" s="99"/>
      <c r="K160" s="100"/>
    </row>
    <row r="161" spans="2:11" x14ac:dyDescent="0.25">
      <c r="B161" s="98" t="str">
        <f>IF(C161=0,"Aucun Dépassement","Dépassement en €")</f>
        <v>Aucun Dépassement</v>
      </c>
      <c r="C161" s="397">
        <f>IF(C160=0,0,C160*(SUM(E42:F42)/F67))</f>
        <v>0</v>
      </c>
      <c r="D161" s="99"/>
      <c r="E161" s="99"/>
      <c r="F161" s="406"/>
      <c r="G161" s="99"/>
      <c r="H161" s="99"/>
      <c r="I161" s="99"/>
      <c r="J161" s="99"/>
      <c r="K161" s="100"/>
    </row>
    <row r="162" spans="2:11" x14ac:dyDescent="0.25">
      <c r="B162" s="163" t="s">
        <v>588</v>
      </c>
      <c r="C162" s="164">
        <f>IF(C161=0,C17,F69+C161)</f>
        <v>0</v>
      </c>
      <c r="D162" s="165"/>
      <c r="E162" s="165" t="s">
        <v>588</v>
      </c>
      <c r="F162" s="407">
        <f>IF(F158=0,C18,C69+F158)</f>
        <v>0</v>
      </c>
      <c r="G162" s="79"/>
      <c r="H162" s="79"/>
      <c r="I162" s="79"/>
      <c r="J162" s="79"/>
      <c r="K162" s="102"/>
    </row>
    <row r="163" spans="2:11" x14ac:dyDescent="0.25">
      <c r="B163" s="142" t="s">
        <v>591</v>
      </c>
      <c r="C163" s="135"/>
      <c r="D163" s="135"/>
      <c r="E163" s="135"/>
      <c r="F163" s="135"/>
      <c r="G163" s="135"/>
      <c r="H163" s="135"/>
      <c r="I163" s="135"/>
      <c r="J163" s="135"/>
      <c r="K163" s="136"/>
    </row>
    <row r="164" spans="2:11" x14ac:dyDescent="0.25">
      <c r="B164" s="146" t="s">
        <v>262</v>
      </c>
      <c r="C164" s="146" t="s">
        <v>470</v>
      </c>
      <c r="D164" s="147"/>
      <c r="E164" s="404" t="s">
        <v>471</v>
      </c>
      <c r="F164" s="149" t="s">
        <v>383</v>
      </c>
      <c r="G164" s="149" t="s">
        <v>533</v>
      </c>
      <c r="H164" s="96"/>
      <c r="I164" s="96"/>
      <c r="J164" s="96"/>
      <c r="K164" s="97"/>
    </row>
    <row r="165" spans="2:11" x14ac:dyDescent="0.25">
      <c r="B165" s="150" t="s">
        <v>99</v>
      </c>
      <c r="C165" s="408">
        <f>IF($K$43=0,0,$E$18*(C42/$K$43))</f>
        <v>0</v>
      </c>
      <c r="D165" s="408"/>
      <c r="E165" s="408">
        <f>IF($K$42=0,0,$E$17*(E42/$K$42))</f>
        <v>0</v>
      </c>
      <c r="F165" s="408">
        <f>IF($K$42=0,0,$E$17*(F42/$K$42))</f>
        <v>0</v>
      </c>
      <c r="G165" s="409">
        <f>SUM(C165:F165)</f>
        <v>0</v>
      </c>
      <c r="H165" s="99"/>
      <c r="I165" s="99"/>
      <c r="J165" s="99"/>
      <c r="K165" s="100"/>
    </row>
    <row r="166" spans="2:11" x14ac:dyDescent="0.25">
      <c r="B166" s="152" t="s">
        <v>100</v>
      </c>
      <c r="C166" s="410">
        <f t="shared" ref="C166:E177" si="24">IF($K$43=0,0,$E$18*(C43/$K$43))</f>
        <v>0</v>
      </c>
      <c r="D166" s="410"/>
      <c r="E166" s="410">
        <f t="shared" si="24"/>
        <v>0</v>
      </c>
      <c r="F166" s="410">
        <f t="shared" ref="F166" si="25">IF($K$43=0,0,$E$18*(F43/$K$43))</f>
        <v>0</v>
      </c>
      <c r="G166" s="409">
        <f t="shared" ref="G166:G183" si="26">SUM(C166:F166)</f>
        <v>0</v>
      </c>
      <c r="H166" s="99"/>
      <c r="I166" s="99"/>
      <c r="J166" s="99"/>
      <c r="K166" s="100"/>
    </row>
    <row r="167" spans="2:11" x14ac:dyDescent="0.25">
      <c r="B167" s="152" t="s">
        <v>101</v>
      </c>
      <c r="C167" s="410">
        <f t="shared" si="24"/>
        <v>0</v>
      </c>
      <c r="D167" s="410"/>
      <c r="E167" s="410">
        <f t="shared" ref="E167" si="27">IF($K$43=0,0,$E$18*(E44/$K$43))</f>
        <v>0</v>
      </c>
      <c r="F167" s="410">
        <f t="shared" ref="F167" si="28">IF($K$43=0,0,$E$18*(F44/$K$43))</f>
        <v>0</v>
      </c>
      <c r="G167" s="409">
        <f t="shared" si="26"/>
        <v>0</v>
      </c>
      <c r="H167" s="99"/>
      <c r="I167" s="99"/>
      <c r="J167" s="99"/>
      <c r="K167" s="100"/>
    </row>
    <row r="168" spans="2:11" x14ac:dyDescent="0.25">
      <c r="B168" s="152" t="s">
        <v>102</v>
      </c>
      <c r="C168" s="410">
        <f t="shared" si="24"/>
        <v>0</v>
      </c>
      <c r="D168" s="410"/>
      <c r="E168" s="410">
        <f t="shared" ref="E168" si="29">IF($K$43=0,0,$E$18*(E45/$K$43))</f>
        <v>0</v>
      </c>
      <c r="F168" s="410">
        <f t="shared" ref="F168" si="30">IF($K$43=0,0,$E$18*(F45/$K$43))</f>
        <v>0</v>
      </c>
      <c r="G168" s="409">
        <f t="shared" si="26"/>
        <v>0</v>
      </c>
      <c r="H168" s="99"/>
      <c r="I168" s="99"/>
      <c r="J168" s="99"/>
      <c r="K168" s="100"/>
    </row>
    <row r="169" spans="2:11" x14ac:dyDescent="0.25">
      <c r="B169" s="152" t="s">
        <v>103</v>
      </c>
      <c r="C169" s="410">
        <f t="shared" si="24"/>
        <v>0</v>
      </c>
      <c r="D169" s="410"/>
      <c r="E169" s="410">
        <f t="shared" ref="E169" si="31">IF($K$43=0,0,$E$18*(E46/$K$43))</f>
        <v>0</v>
      </c>
      <c r="F169" s="410">
        <f t="shared" ref="F169" si="32">IF($K$43=0,0,$E$18*(F46/$K$43))</f>
        <v>0</v>
      </c>
      <c r="G169" s="409">
        <f t="shared" si="26"/>
        <v>0</v>
      </c>
      <c r="H169" s="99"/>
      <c r="I169" s="99"/>
      <c r="J169" s="99"/>
      <c r="K169" s="100"/>
    </row>
    <row r="170" spans="2:11" x14ac:dyDescent="0.25">
      <c r="B170" s="152" t="s">
        <v>117</v>
      </c>
      <c r="C170" s="410">
        <f t="shared" si="24"/>
        <v>0</v>
      </c>
      <c r="D170" s="410"/>
      <c r="E170" s="410">
        <f t="shared" ref="E170" si="33">IF($K$43=0,0,$E$18*(E47/$K$43))</f>
        <v>0</v>
      </c>
      <c r="F170" s="410">
        <f t="shared" ref="F170" si="34">IF($K$43=0,0,$E$18*(F47/$K$43))</f>
        <v>0</v>
      </c>
      <c r="G170" s="409">
        <f t="shared" si="26"/>
        <v>0</v>
      </c>
      <c r="H170" s="99"/>
      <c r="I170" s="99"/>
      <c r="J170" s="99"/>
      <c r="K170" s="100"/>
    </row>
    <row r="171" spans="2:11" x14ac:dyDescent="0.25">
      <c r="B171" s="152" t="s">
        <v>104</v>
      </c>
      <c r="C171" s="410">
        <f t="shared" si="24"/>
        <v>0</v>
      </c>
      <c r="D171" s="410"/>
      <c r="E171" s="410">
        <f t="shared" ref="E171" si="35">IF($K$43=0,0,$E$18*(E48/$K$43))</f>
        <v>0</v>
      </c>
      <c r="F171" s="410">
        <f t="shared" ref="F171" si="36">IF($K$43=0,0,$E$18*(F48/$K$43))</f>
        <v>0</v>
      </c>
      <c r="G171" s="409">
        <f t="shared" si="26"/>
        <v>0</v>
      </c>
      <c r="H171" s="99"/>
      <c r="I171" s="99"/>
      <c r="J171" s="99"/>
      <c r="K171" s="100"/>
    </row>
    <row r="172" spans="2:11" x14ac:dyDescent="0.25">
      <c r="B172" s="152" t="s">
        <v>105</v>
      </c>
      <c r="C172" s="410">
        <f t="shared" si="24"/>
        <v>0</v>
      </c>
      <c r="D172" s="410"/>
      <c r="E172" s="410">
        <f t="shared" ref="E172" si="37">IF($K$43=0,0,$E$18*(E49/$K$43))</f>
        <v>0</v>
      </c>
      <c r="F172" s="410">
        <f t="shared" ref="F172" si="38">IF($K$43=0,0,$E$18*(F49/$K$43))</f>
        <v>0</v>
      </c>
      <c r="G172" s="409">
        <f t="shared" si="26"/>
        <v>0</v>
      </c>
      <c r="H172" s="99"/>
      <c r="I172" s="99"/>
      <c r="J172" s="99"/>
      <c r="K172" s="100"/>
    </row>
    <row r="173" spans="2:11" x14ac:dyDescent="0.25">
      <c r="B173" s="152" t="s">
        <v>106</v>
      </c>
      <c r="C173" s="410">
        <f t="shared" si="24"/>
        <v>0</v>
      </c>
      <c r="D173" s="410"/>
      <c r="E173" s="410">
        <f t="shared" ref="E173" si="39">IF($K$43=0,0,$E$18*(E50/$K$43))</f>
        <v>0</v>
      </c>
      <c r="F173" s="410">
        <f t="shared" ref="F173" si="40">IF($K$43=0,0,$E$18*(F50/$K$43))</f>
        <v>0</v>
      </c>
      <c r="G173" s="409">
        <f t="shared" si="26"/>
        <v>0</v>
      </c>
      <c r="H173" s="99"/>
      <c r="I173" s="99"/>
      <c r="J173" s="99"/>
      <c r="K173" s="100"/>
    </row>
    <row r="174" spans="2:11" x14ac:dyDescent="0.25">
      <c r="B174" s="152" t="s">
        <v>107</v>
      </c>
      <c r="C174" s="410">
        <f t="shared" si="24"/>
        <v>0</v>
      </c>
      <c r="D174" s="410"/>
      <c r="E174" s="410">
        <f t="shared" ref="E174" si="41">IF($K$43=0,0,$E$18*(E51/$K$43))</f>
        <v>0</v>
      </c>
      <c r="F174" s="410">
        <f t="shared" ref="F174" si="42">IF($K$43=0,0,$E$18*(F51/$K$43))</f>
        <v>0</v>
      </c>
      <c r="G174" s="409">
        <f t="shared" si="26"/>
        <v>0</v>
      </c>
      <c r="H174" s="99"/>
      <c r="I174" s="99"/>
      <c r="J174" s="99"/>
      <c r="K174" s="100"/>
    </row>
    <row r="175" spans="2:11" x14ac:dyDescent="0.25">
      <c r="B175" s="152" t="s">
        <v>108</v>
      </c>
      <c r="C175" s="410">
        <f t="shared" si="24"/>
        <v>0</v>
      </c>
      <c r="D175" s="410"/>
      <c r="E175" s="410">
        <f t="shared" ref="E175" si="43">IF($K$43=0,0,$E$18*(E52/$K$43))</f>
        <v>0</v>
      </c>
      <c r="F175" s="410">
        <f t="shared" ref="F175" si="44">IF($K$43=0,0,$E$18*(F52/$K$43))</f>
        <v>0</v>
      </c>
      <c r="G175" s="409">
        <f t="shared" si="26"/>
        <v>0</v>
      </c>
      <c r="H175" s="99"/>
      <c r="I175" s="99"/>
      <c r="J175" s="99"/>
      <c r="K175" s="100"/>
    </row>
    <row r="176" spans="2:11" x14ac:dyDescent="0.25">
      <c r="B176" s="152" t="s">
        <v>109</v>
      </c>
      <c r="C176" s="410">
        <f t="shared" si="24"/>
        <v>0</v>
      </c>
      <c r="D176" s="410"/>
      <c r="E176" s="410">
        <f t="shared" ref="E176" si="45">IF($K$43=0,0,$E$18*(E53/$K$43))</f>
        <v>0</v>
      </c>
      <c r="F176" s="410">
        <f t="shared" ref="F176" si="46">IF($K$43=0,0,$E$18*(F53/$K$43))</f>
        <v>0</v>
      </c>
      <c r="G176" s="409">
        <f t="shared" si="26"/>
        <v>0</v>
      </c>
      <c r="H176" s="99"/>
      <c r="I176" s="99"/>
      <c r="J176" s="99"/>
      <c r="K176" s="100"/>
    </row>
    <row r="177" spans="2:11" x14ac:dyDescent="0.25">
      <c r="B177" s="152" t="s">
        <v>110</v>
      </c>
      <c r="C177" s="410">
        <f t="shared" si="24"/>
        <v>0</v>
      </c>
      <c r="D177" s="410"/>
      <c r="E177" s="410">
        <f t="shared" ref="E177" si="47">IF($K$43=0,0,$E$18*(E54/$K$43))</f>
        <v>0</v>
      </c>
      <c r="F177" s="410">
        <f t="shared" ref="F177" si="48">IF($K$43=0,0,$E$18*(F54/$K$43))</f>
        <v>0</v>
      </c>
      <c r="G177" s="409">
        <f t="shared" si="26"/>
        <v>0</v>
      </c>
      <c r="H177" s="99"/>
      <c r="I177" s="99"/>
      <c r="J177" s="99"/>
      <c r="K177" s="100"/>
    </row>
    <row r="178" spans="2:11" x14ac:dyDescent="0.25">
      <c r="B178" s="463" t="s">
        <v>111</v>
      </c>
      <c r="C178" s="410">
        <f>IF($K$43=0,0,IF(SUM($G$55:$G$56)=0,0,$E$18*((C55-($C$75*(C55/SUM($G$55:$G$56))/$K$43)))))</f>
        <v>0</v>
      </c>
      <c r="D178" s="410"/>
      <c r="E178" s="410">
        <f t="shared" ref="E178:F178" si="49">IF($K$43=0,0,IF(SUM($G$55:$G$56)=0,0,$E$18*((E55-($C$75*(E55/SUM($G$55:$G$56))/$K$43)))))</f>
        <v>0</v>
      </c>
      <c r="F178" s="410">
        <f t="shared" si="49"/>
        <v>0</v>
      </c>
      <c r="G178" s="409">
        <f t="shared" si="26"/>
        <v>0</v>
      </c>
      <c r="H178" s="99"/>
      <c r="I178" s="99"/>
      <c r="J178" s="99"/>
      <c r="K178" s="100"/>
    </row>
    <row r="179" spans="2:11" x14ac:dyDescent="0.25">
      <c r="B179" s="463" t="s">
        <v>112</v>
      </c>
      <c r="C179" s="410">
        <f>IF($K$43=0,0,IF(SUM($G$55:$G$56)=0,0,$E$18*((C56-($C$75*(C56/SUM($G$55:$G$56))/$K$43)))))</f>
        <v>0</v>
      </c>
      <c r="D179" s="410"/>
      <c r="E179" s="410">
        <f t="shared" ref="E179:F179" si="50">IF($K$43=0,0,IF(SUM($G$55:$G$56)=0,0,$E$18*((E56-($C$75*(E56/SUM($G$55:$G$56))/$K$43)))))</f>
        <v>0</v>
      </c>
      <c r="F179" s="410">
        <f t="shared" si="50"/>
        <v>0</v>
      </c>
      <c r="G179" s="409">
        <f t="shared" si="26"/>
        <v>0</v>
      </c>
      <c r="H179" s="99"/>
      <c r="I179" s="99"/>
      <c r="J179" s="99"/>
      <c r="K179" s="100"/>
    </row>
    <row r="180" spans="2:11" x14ac:dyDescent="0.25">
      <c r="B180" s="463" t="s">
        <v>113</v>
      </c>
      <c r="C180" s="410">
        <f>IF($K$43=0,0,IF(SUM($G$57:$G$58)=0,0,$E$18*((C57-($C$76*(C57/SUM($G$57:$G$58))/$K$43)))))</f>
        <v>0</v>
      </c>
      <c r="D180" s="410"/>
      <c r="E180" s="410">
        <f t="shared" ref="E180" si="51">IF($K$43=0,0,$E$18*(E57/$K$43))</f>
        <v>0</v>
      </c>
      <c r="F180" s="410">
        <f t="shared" ref="F180" si="52">IF($K$43=0,0,$E$18*(F57/$K$43))</f>
        <v>0</v>
      </c>
      <c r="G180" s="409">
        <f t="shared" si="26"/>
        <v>0</v>
      </c>
      <c r="H180" s="99"/>
      <c r="I180" s="99"/>
      <c r="J180" s="99"/>
      <c r="K180" s="100"/>
    </row>
    <row r="181" spans="2:11" x14ac:dyDescent="0.25">
      <c r="B181" s="463" t="s">
        <v>114</v>
      </c>
      <c r="C181" s="410">
        <f t="shared" ref="C181" si="53">IF($K$43=0,0,IF(SUM($G$55:$G$56)=0,0,$E$18*((C58-($C$75*(C58/SUM($G$55:$G$56))/$K$43)))))</f>
        <v>0</v>
      </c>
      <c r="D181" s="410"/>
      <c r="E181" s="410">
        <f t="shared" ref="E181" si="54">IF($K$43=0,0,$E$18*(E58/$K$43))</f>
        <v>0</v>
      </c>
      <c r="F181" s="410">
        <f t="shared" ref="F181" si="55">IF($K$43=0,0,$E$18*(F58/$K$43))</f>
        <v>0</v>
      </c>
      <c r="G181" s="409">
        <f t="shared" si="26"/>
        <v>0</v>
      </c>
      <c r="H181" s="99"/>
      <c r="I181" s="99"/>
      <c r="J181" s="99"/>
      <c r="K181" s="100"/>
    </row>
    <row r="182" spans="2:11" x14ac:dyDescent="0.25">
      <c r="B182" s="463" t="s">
        <v>115</v>
      </c>
      <c r="C182" s="410">
        <f>IF($K$43=0,0,IF($G$59=0,0,$E$18*((C59-($C$77*(C59/$G$59)/$K$43)))))</f>
        <v>0</v>
      </c>
      <c r="D182" s="410"/>
      <c r="E182" s="410">
        <f t="shared" ref="E182" si="56">IF($K$43=0,0,$E$18*(E59/$K$43))</f>
        <v>0</v>
      </c>
      <c r="F182" s="410">
        <f t="shared" ref="F182" si="57">IF($K$43=0,0,$E$18*(F59/$K$43))</f>
        <v>0</v>
      </c>
      <c r="G182" s="409">
        <f t="shared" si="26"/>
        <v>0</v>
      </c>
      <c r="H182" s="99"/>
      <c r="I182" s="99"/>
      <c r="J182" s="99"/>
      <c r="K182" s="100"/>
    </row>
    <row r="183" spans="2:11" x14ac:dyDescent="0.25">
      <c r="B183" s="464" t="s">
        <v>116</v>
      </c>
      <c r="C183" s="410">
        <f>IF(K45=0,0,E20)</f>
        <v>0</v>
      </c>
      <c r="D183" s="411"/>
      <c r="E183" s="410">
        <f>IF($K$44=0,0,$E$19*(E60/$K$44))</f>
        <v>0</v>
      </c>
      <c r="F183" s="410">
        <f>IF($K$44=0,0,$E$19*(F60/$K$44))</f>
        <v>0</v>
      </c>
      <c r="G183" s="409">
        <f t="shared" si="26"/>
        <v>0</v>
      </c>
      <c r="H183" s="99"/>
      <c r="I183" s="99"/>
      <c r="J183" s="99"/>
      <c r="K183" s="100"/>
    </row>
    <row r="184" spans="2:11" x14ac:dyDescent="0.25">
      <c r="B184" s="393" t="s">
        <v>33</v>
      </c>
      <c r="C184" s="412">
        <f>SUM(C165:C183)</f>
        <v>0</v>
      </c>
      <c r="D184" s="412"/>
      <c r="E184" s="412">
        <f t="shared" ref="E184:G184" si="58">SUM(E165:E183)</f>
        <v>0</v>
      </c>
      <c r="F184" s="412">
        <f t="shared" si="58"/>
        <v>0</v>
      </c>
      <c r="G184" s="412">
        <f t="shared" si="58"/>
        <v>0</v>
      </c>
      <c r="H184" s="79"/>
      <c r="I184" s="79"/>
      <c r="J184" s="99"/>
      <c r="K184" s="100"/>
    </row>
    <row r="185" spans="2:11" x14ac:dyDescent="0.25">
      <c r="B185" s="508" t="s">
        <v>620</v>
      </c>
      <c r="C185" s="96"/>
      <c r="D185" s="548" t="s">
        <v>651</v>
      </c>
      <c r="E185" s="551">
        <f>'Information générales 3'!C69</f>
        <v>0</v>
      </c>
      <c r="F185" s="549" t="s">
        <v>657</v>
      </c>
      <c r="G185" s="553" t="s">
        <v>652</v>
      </c>
      <c r="H185" s="551">
        <f>'Information générales 3'!C71</f>
        <v>0</v>
      </c>
      <c r="I185" s="549" t="s">
        <v>657</v>
      </c>
      <c r="J185" s="551">
        <f>H185-E185</f>
        <v>0</v>
      </c>
      <c r="K185" s="557" t="e">
        <f>J185/H185</f>
        <v>#DIV/0!</v>
      </c>
    </row>
    <row r="186" spans="2:11" x14ac:dyDescent="0.25">
      <c r="B186" s="544" t="str">
        <f>'Information générales 3'!C66</f>
        <v>Différence entre 2019 et 2020</v>
      </c>
      <c r="C186" s="545">
        <f>IF(B186='Variable et Dropdowns'!A6,TEXT('Information générales 3'!C68,"0,00%"),'Information générales 3'!C73)</f>
        <v>0</v>
      </c>
      <c r="D186" s="548" t="s">
        <v>655</v>
      </c>
      <c r="E186" s="552">
        <f>'Information générales 3'!C70</f>
        <v>0</v>
      </c>
      <c r="F186" s="550" t="s">
        <v>658</v>
      </c>
      <c r="G186" s="553" t="s">
        <v>656</v>
      </c>
      <c r="H186" s="552">
        <f>'Information générales 3'!C72</f>
        <v>0</v>
      </c>
      <c r="I186" s="554" t="s">
        <v>658</v>
      </c>
      <c r="J186" s="556">
        <f>H186-E186</f>
        <v>0</v>
      </c>
      <c r="K186" s="558" t="e">
        <f>J186/H186</f>
        <v>#DIV/0!</v>
      </c>
    </row>
    <row r="187" spans="2:11" x14ac:dyDescent="0.25">
      <c r="B187" s="146" t="s">
        <v>628</v>
      </c>
      <c r="C187" s="146" t="s">
        <v>629</v>
      </c>
      <c r="D187" s="147" t="s">
        <v>125</v>
      </c>
      <c r="E187" s="535" t="s">
        <v>647</v>
      </c>
      <c r="F187" s="149" t="s">
        <v>646</v>
      </c>
      <c r="G187" s="535" t="s">
        <v>645</v>
      </c>
      <c r="H187" s="149" t="s">
        <v>644</v>
      </c>
      <c r="I187" s="99"/>
      <c r="J187" s="99"/>
      <c r="K187" s="100"/>
    </row>
    <row r="188" spans="2:11" x14ac:dyDescent="0.25">
      <c r="B188" s="150" t="s">
        <v>600</v>
      </c>
      <c r="C188" s="408" t="s">
        <v>99</v>
      </c>
      <c r="D188" s="408">
        <f>'Variable et Dropdowns'!AD96</f>
        <v>0</v>
      </c>
      <c r="E188" s="408">
        <f>'Variable et Dropdowns'!AE96</f>
        <v>0</v>
      </c>
      <c r="F188" s="408">
        <f>'Variable et Dropdowns'!AF96</f>
        <v>0</v>
      </c>
      <c r="G188" s="409">
        <f>'Variable et Dropdowns'!AG96</f>
        <v>0</v>
      </c>
      <c r="H188" s="496">
        <f>'Variable et Dropdowns'!AH96</f>
        <v>0</v>
      </c>
      <c r="I188" s="99"/>
      <c r="J188" s="99"/>
      <c r="K188" s="100"/>
    </row>
    <row r="189" spans="2:11" x14ac:dyDescent="0.25">
      <c r="B189" s="152" t="s">
        <v>601</v>
      </c>
      <c r="C189" s="410" t="s">
        <v>100</v>
      </c>
      <c r="D189" s="410">
        <f>'Variable et Dropdowns'!AD97</f>
        <v>0</v>
      </c>
      <c r="E189" s="410">
        <f>'Variable et Dropdowns'!AE97</f>
        <v>0</v>
      </c>
      <c r="F189" s="410">
        <f>'Variable et Dropdowns'!AF97</f>
        <v>0</v>
      </c>
      <c r="G189" s="409">
        <f>'Variable et Dropdowns'!AG97</f>
        <v>0</v>
      </c>
      <c r="H189" s="497">
        <f>'Variable et Dropdowns'!AH97</f>
        <v>0</v>
      </c>
      <c r="I189" s="99"/>
      <c r="J189" s="99"/>
      <c r="K189" s="100"/>
    </row>
    <row r="190" spans="2:11" x14ac:dyDescent="0.25">
      <c r="B190" s="152" t="s">
        <v>602</v>
      </c>
      <c r="C190" s="410" t="s">
        <v>101</v>
      </c>
      <c r="D190" s="410">
        <f>'Variable et Dropdowns'!AD98</f>
        <v>0</v>
      </c>
      <c r="E190" s="410">
        <f>'Variable et Dropdowns'!AE98</f>
        <v>0</v>
      </c>
      <c r="F190" s="410">
        <f>'Variable et Dropdowns'!AF98</f>
        <v>0</v>
      </c>
      <c r="G190" s="409">
        <f>'Variable et Dropdowns'!AG98</f>
        <v>0</v>
      </c>
      <c r="H190" s="497">
        <f>'Variable et Dropdowns'!AH98</f>
        <v>0</v>
      </c>
      <c r="I190" s="99"/>
      <c r="J190" s="99"/>
      <c r="K190" s="100"/>
    </row>
    <row r="191" spans="2:11" x14ac:dyDescent="0.25">
      <c r="B191" s="152" t="s">
        <v>603</v>
      </c>
      <c r="C191" s="410" t="s">
        <v>102</v>
      </c>
      <c r="D191" s="410">
        <f>'Variable et Dropdowns'!AD99</f>
        <v>0</v>
      </c>
      <c r="E191" s="410">
        <f>'Variable et Dropdowns'!AE99</f>
        <v>0</v>
      </c>
      <c r="F191" s="410">
        <f>'Variable et Dropdowns'!AF99</f>
        <v>0</v>
      </c>
      <c r="G191" s="409">
        <f>'Variable et Dropdowns'!AG99</f>
        <v>0</v>
      </c>
      <c r="H191" s="497">
        <f>'Variable et Dropdowns'!AH99</f>
        <v>0</v>
      </c>
      <c r="I191" s="99"/>
      <c r="J191" s="99"/>
      <c r="K191" s="100"/>
    </row>
    <row r="192" spans="2:11" x14ac:dyDescent="0.25">
      <c r="B192" s="152" t="s">
        <v>604</v>
      </c>
      <c r="C192" s="410" t="s">
        <v>103</v>
      </c>
      <c r="D192" s="410">
        <f>'Variable et Dropdowns'!AD100</f>
        <v>0</v>
      </c>
      <c r="E192" s="410">
        <f>'Variable et Dropdowns'!AE100</f>
        <v>0</v>
      </c>
      <c r="F192" s="410">
        <f>'Variable et Dropdowns'!AF100</f>
        <v>0</v>
      </c>
      <c r="G192" s="409">
        <f>'Variable et Dropdowns'!AG100</f>
        <v>0</v>
      </c>
      <c r="H192" s="497">
        <f>'Variable et Dropdowns'!AH100</f>
        <v>0</v>
      </c>
      <c r="I192" s="99"/>
      <c r="J192" s="99"/>
      <c r="K192" s="100"/>
    </row>
    <row r="193" spans="2:11" x14ac:dyDescent="0.25">
      <c r="B193" s="152" t="s">
        <v>605</v>
      </c>
      <c r="C193" s="410" t="s">
        <v>117</v>
      </c>
      <c r="D193" s="410">
        <f>'Variable et Dropdowns'!AD101</f>
        <v>0</v>
      </c>
      <c r="E193" s="410">
        <f>'Variable et Dropdowns'!AE101</f>
        <v>0</v>
      </c>
      <c r="F193" s="410">
        <f>'Variable et Dropdowns'!AF101</f>
        <v>0</v>
      </c>
      <c r="G193" s="409">
        <f>'Variable et Dropdowns'!AG101</f>
        <v>0</v>
      </c>
      <c r="H193" s="497">
        <f>'Variable et Dropdowns'!AH101</f>
        <v>0</v>
      </c>
      <c r="I193" s="99"/>
      <c r="J193" s="99"/>
      <c r="K193" s="100"/>
    </row>
    <row r="194" spans="2:11" x14ac:dyDescent="0.25">
      <c r="B194" s="152" t="s">
        <v>606</v>
      </c>
      <c r="C194" s="410" t="s">
        <v>104</v>
      </c>
      <c r="D194" s="410">
        <f>'Variable et Dropdowns'!AD102</f>
        <v>0</v>
      </c>
      <c r="E194" s="410">
        <f>'Variable et Dropdowns'!AE102</f>
        <v>0</v>
      </c>
      <c r="F194" s="410">
        <f>'Variable et Dropdowns'!AF102</f>
        <v>0</v>
      </c>
      <c r="G194" s="409">
        <f>'Variable et Dropdowns'!AG102</f>
        <v>0</v>
      </c>
      <c r="H194" s="497">
        <f>'Variable et Dropdowns'!AH102</f>
        <v>0</v>
      </c>
      <c r="I194" s="99"/>
      <c r="J194" s="99"/>
      <c r="K194" s="100"/>
    </row>
    <row r="195" spans="2:11" x14ac:dyDescent="0.25">
      <c r="B195" s="152" t="s">
        <v>607</v>
      </c>
      <c r="C195" s="410" t="s">
        <v>105</v>
      </c>
      <c r="D195" s="410">
        <f>'Variable et Dropdowns'!AD103</f>
        <v>0</v>
      </c>
      <c r="E195" s="410">
        <f>'Variable et Dropdowns'!AE103</f>
        <v>0</v>
      </c>
      <c r="F195" s="410">
        <f>'Variable et Dropdowns'!AF103</f>
        <v>0</v>
      </c>
      <c r="G195" s="409">
        <f>'Variable et Dropdowns'!AG103</f>
        <v>0</v>
      </c>
      <c r="H195" s="497">
        <f>'Variable et Dropdowns'!AH103</f>
        <v>0</v>
      </c>
      <c r="I195" s="99"/>
      <c r="J195" s="99"/>
      <c r="K195" s="100"/>
    </row>
    <row r="196" spans="2:11" x14ac:dyDescent="0.25">
      <c r="B196" s="152" t="s">
        <v>608</v>
      </c>
      <c r="C196" s="410" t="s">
        <v>106</v>
      </c>
      <c r="D196" s="410">
        <f>'Variable et Dropdowns'!AD104</f>
        <v>0</v>
      </c>
      <c r="E196" s="410">
        <f>'Variable et Dropdowns'!AE104</f>
        <v>0</v>
      </c>
      <c r="F196" s="410">
        <f>'Variable et Dropdowns'!AF104</f>
        <v>0</v>
      </c>
      <c r="G196" s="409">
        <f>'Variable et Dropdowns'!AG104</f>
        <v>0</v>
      </c>
      <c r="H196" s="497">
        <f>'Variable et Dropdowns'!AH104</f>
        <v>0</v>
      </c>
      <c r="I196" s="99"/>
      <c r="J196" s="99"/>
      <c r="K196" s="100"/>
    </row>
    <row r="197" spans="2:11" x14ac:dyDescent="0.25">
      <c r="B197" s="152" t="s">
        <v>609</v>
      </c>
      <c r="C197" s="410" t="s">
        <v>107</v>
      </c>
      <c r="D197" s="410">
        <f>'Variable et Dropdowns'!AD105</f>
        <v>0</v>
      </c>
      <c r="E197" s="410">
        <f>'Variable et Dropdowns'!AE105</f>
        <v>0</v>
      </c>
      <c r="F197" s="410">
        <f>'Variable et Dropdowns'!AF105</f>
        <v>0</v>
      </c>
      <c r="G197" s="409">
        <f>'Variable et Dropdowns'!AG105</f>
        <v>0</v>
      </c>
      <c r="H197" s="497">
        <f>'Variable et Dropdowns'!AH105</f>
        <v>0</v>
      </c>
      <c r="I197" s="99"/>
      <c r="J197" s="99"/>
      <c r="K197" s="100"/>
    </row>
    <row r="198" spans="2:11" x14ac:dyDescent="0.25">
      <c r="B198" s="152" t="s">
        <v>610</v>
      </c>
      <c r="C198" s="410" t="s">
        <v>108</v>
      </c>
      <c r="D198" s="410">
        <f>'Variable et Dropdowns'!AD106</f>
        <v>0</v>
      </c>
      <c r="E198" s="410">
        <f>'Variable et Dropdowns'!AE106</f>
        <v>0</v>
      </c>
      <c r="F198" s="410">
        <f>'Variable et Dropdowns'!AF106</f>
        <v>0</v>
      </c>
      <c r="G198" s="409">
        <f>'Variable et Dropdowns'!AG106</f>
        <v>0</v>
      </c>
      <c r="H198" s="497">
        <f>'Variable et Dropdowns'!AH106</f>
        <v>0</v>
      </c>
      <c r="I198" s="99"/>
      <c r="J198" s="99"/>
      <c r="K198" s="100"/>
    </row>
    <row r="199" spans="2:11" x14ac:dyDescent="0.25">
      <c r="B199" s="152" t="s">
        <v>611</v>
      </c>
      <c r="C199" s="410" t="s">
        <v>109</v>
      </c>
      <c r="D199" s="410">
        <f>'Variable et Dropdowns'!AD107</f>
        <v>0</v>
      </c>
      <c r="E199" s="410">
        <f>'Variable et Dropdowns'!AE107</f>
        <v>0</v>
      </c>
      <c r="F199" s="410">
        <f>'Variable et Dropdowns'!AF107</f>
        <v>0</v>
      </c>
      <c r="G199" s="409">
        <f>'Variable et Dropdowns'!AG107</f>
        <v>0</v>
      </c>
      <c r="H199" s="497">
        <f>'Variable et Dropdowns'!AH107</f>
        <v>0</v>
      </c>
      <c r="I199" s="99"/>
      <c r="J199" s="99"/>
      <c r="K199" s="100"/>
    </row>
    <row r="200" spans="2:11" x14ac:dyDescent="0.25">
      <c r="B200" s="152" t="s">
        <v>612</v>
      </c>
      <c r="C200" s="410" t="s">
        <v>110</v>
      </c>
      <c r="D200" s="410">
        <f>'Variable et Dropdowns'!AD108</f>
        <v>0</v>
      </c>
      <c r="E200" s="410">
        <f>'Variable et Dropdowns'!AE108</f>
        <v>0</v>
      </c>
      <c r="F200" s="410">
        <f>'Variable et Dropdowns'!AF108</f>
        <v>0</v>
      </c>
      <c r="G200" s="409">
        <f>'Variable et Dropdowns'!AG108</f>
        <v>0</v>
      </c>
      <c r="H200" s="497">
        <f>'Variable et Dropdowns'!AH108</f>
        <v>0</v>
      </c>
      <c r="I200" s="99"/>
      <c r="J200" s="99"/>
      <c r="K200" s="100"/>
    </row>
    <row r="201" spans="2:11" x14ac:dyDescent="0.25">
      <c r="B201" s="463" t="s">
        <v>613</v>
      </c>
      <c r="C201" s="410" t="s">
        <v>111</v>
      </c>
      <c r="D201" s="410">
        <f>'Variable et Dropdowns'!AD109</f>
        <v>0</v>
      </c>
      <c r="E201" s="410">
        <f>'Variable et Dropdowns'!AE109</f>
        <v>0</v>
      </c>
      <c r="F201" s="410">
        <f>'Variable et Dropdowns'!AF109</f>
        <v>0</v>
      </c>
      <c r="G201" s="409">
        <f>'Variable et Dropdowns'!AG109</f>
        <v>0</v>
      </c>
      <c r="H201" s="498">
        <f>'Variable et Dropdowns'!AH109</f>
        <v>0</v>
      </c>
      <c r="I201" s="99"/>
      <c r="J201" s="99"/>
      <c r="K201" s="100"/>
    </row>
    <row r="202" spans="2:11" x14ac:dyDescent="0.25">
      <c r="B202" s="463" t="s">
        <v>617</v>
      </c>
      <c r="C202" s="410" t="s">
        <v>112</v>
      </c>
      <c r="D202" s="410">
        <f>'Variable et Dropdowns'!AD110</f>
        <v>0</v>
      </c>
      <c r="E202" s="410">
        <f>'Variable et Dropdowns'!AE110</f>
        <v>0</v>
      </c>
      <c r="F202" s="410">
        <f>'Variable et Dropdowns'!AF110</f>
        <v>0</v>
      </c>
      <c r="G202" s="409">
        <f>'Variable et Dropdowns'!AG110</f>
        <v>0</v>
      </c>
      <c r="H202" s="498">
        <f>'Variable et Dropdowns'!AH110</f>
        <v>0</v>
      </c>
      <c r="I202" s="99"/>
      <c r="J202" s="99"/>
      <c r="K202" s="100"/>
    </row>
    <row r="203" spans="2:11" x14ac:dyDescent="0.25">
      <c r="B203" s="463" t="s">
        <v>614</v>
      </c>
      <c r="C203" s="410" t="s">
        <v>113</v>
      </c>
      <c r="D203" s="410">
        <f>'Variable et Dropdowns'!AD111</f>
        <v>0</v>
      </c>
      <c r="E203" s="410">
        <f>'Variable et Dropdowns'!AE111</f>
        <v>0</v>
      </c>
      <c r="F203" s="410">
        <f>'Variable et Dropdowns'!AF111</f>
        <v>0</v>
      </c>
      <c r="G203" s="409">
        <f>'Variable et Dropdowns'!AG111</f>
        <v>0</v>
      </c>
      <c r="H203" s="498">
        <f>'Variable et Dropdowns'!AH111</f>
        <v>0</v>
      </c>
      <c r="I203" s="99"/>
      <c r="J203" s="99"/>
      <c r="K203" s="100"/>
    </row>
    <row r="204" spans="2:11" x14ac:dyDescent="0.25">
      <c r="B204" s="463" t="s">
        <v>618</v>
      </c>
      <c r="C204" s="410" t="s">
        <v>114</v>
      </c>
      <c r="D204" s="410">
        <f>'Variable et Dropdowns'!AD112</f>
        <v>0</v>
      </c>
      <c r="E204" s="410">
        <f>'Variable et Dropdowns'!AE112</f>
        <v>0</v>
      </c>
      <c r="F204" s="410">
        <f>'Variable et Dropdowns'!AF112</f>
        <v>0</v>
      </c>
      <c r="G204" s="409">
        <f>'Variable et Dropdowns'!AG112</f>
        <v>0</v>
      </c>
      <c r="H204" s="498">
        <f>'Variable et Dropdowns'!AH112</f>
        <v>0</v>
      </c>
      <c r="I204" s="99"/>
      <c r="J204" s="99"/>
      <c r="K204" s="100"/>
    </row>
    <row r="205" spans="2:11" x14ac:dyDescent="0.25">
      <c r="B205" s="463" t="s">
        <v>615</v>
      </c>
      <c r="C205" s="410" t="s">
        <v>115</v>
      </c>
      <c r="D205" s="410">
        <f>'Variable et Dropdowns'!AD113</f>
        <v>0</v>
      </c>
      <c r="E205" s="410">
        <f>'Variable et Dropdowns'!AE113</f>
        <v>0</v>
      </c>
      <c r="F205" s="410">
        <f>'Variable et Dropdowns'!AF113</f>
        <v>0</v>
      </c>
      <c r="G205" s="409">
        <f>'Variable et Dropdowns'!AG113</f>
        <v>0</v>
      </c>
      <c r="H205" s="498">
        <f>'Variable et Dropdowns'!AH113</f>
        <v>0</v>
      </c>
      <c r="I205" s="99"/>
      <c r="J205" s="99"/>
      <c r="K205" s="100"/>
    </row>
    <row r="206" spans="2:11" x14ac:dyDescent="0.25">
      <c r="B206" s="464" t="s">
        <v>616</v>
      </c>
      <c r="C206" s="411" t="s">
        <v>116</v>
      </c>
      <c r="D206" s="411">
        <f>'Variable et Dropdowns'!AD114</f>
        <v>0</v>
      </c>
      <c r="E206" s="410">
        <f>'Variable et Dropdowns'!AE114</f>
        <v>0</v>
      </c>
      <c r="F206" s="410">
        <f>'Variable et Dropdowns'!AF114</f>
        <v>0</v>
      </c>
      <c r="G206" s="409">
        <f>'Variable et Dropdowns'!AG114</f>
        <v>0</v>
      </c>
      <c r="H206" s="499">
        <f>'Variable et Dropdowns'!AH114</f>
        <v>0</v>
      </c>
      <c r="I206" s="99"/>
      <c r="J206" s="99"/>
      <c r="K206" s="100"/>
    </row>
    <row r="207" spans="2:11" x14ac:dyDescent="0.25">
      <c r="B207" s="393" t="s">
        <v>33</v>
      </c>
      <c r="C207" s="412"/>
      <c r="D207" s="412">
        <f t="shared" ref="D207:H207" si="59">SUM(D188:D206)</f>
        <v>0</v>
      </c>
      <c r="E207" s="412">
        <f t="shared" si="59"/>
        <v>0</v>
      </c>
      <c r="F207" s="412">
        <f t="shared" si="59"/>
        <v>0</v>
      </c>
      <c r="G207" s="412">
        <f t="shared" si="59"/>
        <v>0</v>
      </c>
      <c r="H207" s="412">
        <f t="shared" si="59"/>
        <v>0</v>
      </c>
      <c r="I207" s="79"/>
      <c r="J207" s="79"/>
      <c r="K207" s="102"/>
    </row>
    <row r="208" spans="2:11" ht="15.75" x14ac:dyDescent="0.25">
      <c r="B208" s="543" t="s">
        <v>648</v>
      </c>
    </row>
    <row r="209" spans="2:6" x14ac:dyDescent="0.25">
      <c r="B209" s="146" t="s">
        <v>629</v>
      </c>
      <c r="C209" s="535" t="s">
        <v>647</v>
      </c>
      <c r="D209" s="149" t="s">
        <v>646</v>
      </c>
      <c r="E209" s="535" t="s">
        <v>645</v>
      </c>
      <c r="F209" s="149" t="s">
        <v>644</v>
      </c>
    </row>
    <row r="210" spans="2:6" x14ac:dyDescent="0.25">
      <c r="B210" s="542" t="s">
        <v>99</v>
      </c>
      <c r="C210" s="178">
        <f>SUMIF(CCTSAS[Allocation fonctions],$B210,CCTSAS[dont heures prestées en COVID entre 8:00 et 13:00 pendant la période scolaire
(période du 25/05/2020 - 15/07/2020)])</f>
        <v>0</v>
      </c>
      <c r="D210" s="178">
        <f>SUMIF(CCTSAS[Allocation fonctions],$B210,CCTSAS[dont heures additionnelles Avenant / personnel engagé spécifique COVID jusqu''au 31/12/2020])</f>
        <v>0</v>
      </c>
      <c r="E210" s="178">
        <f>SUMIF(SalCommune[Allocations fonctions],$B210,SalCommune[dont heures prestées en COVID entre 8:00 et 13:00 pendant la période scolaire
(période du 25/05/2020 - 15/07/2020)])</f>
        <v>0</v>
      </c>
      <c r="F210" s="180">
        <f>SUMIF(SalCommune[Allocations fonctions],$B210,SalCommune[dont heures additionnelles Avenant / personnel engagé spécifique COVID jusqu''au 31/12/2020])</f>
        <v>0</v>
      </c>
    </row>
    <row r="211" spans="2:6" x14ac:dyDescent="0.25">
      <c r="B211" s="540" t="s">
        <v>100</v>
      </c>
      <c r="C211" s="175">
        <f>SUMIF(CCTSAS[Allocation fonctions],$B211,CCTSAS[dont heures prestées en COVID entre 8:00 et 13:00 pendant la période scolaire
(période du 25/05/2020 - 15/07/2020)])</f>
        <v>0</v>
      </c>
      <c r="D211" s="175">
        <f>SUMIF(CCTSAS[Allocation fonctions],$B211,CCTSAS[dont heures additionnelles Avenant / personnel engagé spécifique COVID jusqu''au 31/12/2020])</f>
        <v>0</v>
      </c>
      <c r="E211" s="175">
        <f>SUMIF(SalCommune[Allocations fonctions],$B211,SalCommune[dont heures prestées en COVID entre 8:00 et 13:00 pendant la période scolaire
(période du 25/05/2020 - 15/07/2020)])</f>
        <v>0</v>
      </c>
      <c r="F211" s="180">
        <f>SUMIF(SalCommune[Allocations fonctions],$B211,SalCommune[dont heures additionnelles Avenant / personnel engagé spécifique COVID jusqu''au 31/12/2020])</f>
        <v>0</v>
      </c>
    </row>
    <row r="212" spans="2:6" x14ac:dyDescent="0.25">
      <c r="B212" s="540" t="s">
        <v>101</v>
      </c>
      <c r="C212" s="175">
        <f>SUMIF(CCTSAS[Allocation fonctions],$B212,CCTSAS[dont heures prestées en COVID entre 8:00 et 13:00 pendant la période scolaire
(période du 25/05/2020 - 15/07/2020)])</f>
        <v>0</v>
      </c>
      <c r="D212" s="175">
        <f>SUMIF(CCTSAS[Allocation fonctions],$B212,CCTSAS[dont heures additionnelles Avenant / personnel engagé spécifique COVID jusqu''au 31/12/2020])</f>
        <v>0</v>
      </c>
      <c r="E212" s="175">
        <f>SUMIF(SalCommune[Allocations fonctions],$B212,SalCommune[dont heures prestées en COVID entre 8:00 et 13:00 pendant la période scolaire
(période du 25/05/2020 - 15/07/2020)])</f>
        <v>0</v>
      </c>
      <c r="F212" s="180">
        <f>SUMIF(SalCommune[Allocations fonctions],$B212,SalCommune[dont heures additionnelles Avenant / personnel engagé spécifique COVID jusqu''au 31/12/2020])</f>
        <v>0</v>
      </c>
    </row>
    <row r="213" spans="2:6" x14ac:dyDescent="0.25">
      <c r="B213" s="540" t="s">
        <v>102</v>
      </c>
      <c r="C213" s="175">
        <f>SUMIF(CCTSAS[Allocation fonctions],$B213,CCTSAS[dont heures prestées en COVID entre 8:00 et 13:00 pendant la période scolaire
(période du 25/05/2020 - 15/07/2020)])</f>
        <v>0</v>
      </c>
      <c r="D213" s="175">
        <f>SUMIF(CCTSAS[Allocation fonctions],$B213,CCTSAS[dont heures additionnelles Avenant / personnel engagé spécifique COVID jusqu''au 31/12/2020])</f>
        <v>0</v>
      </c>
      <c r="E213" s="175">
        <f>SUMIF(SalCommune[Allocations fonctions],$B213,SalCommune[dont heures prestées en COVID entre 8:00 et 13:00 pendant la période scolaire
(période du 25/05/2020 - 15/07/2020)])</f>
        <v>0</v>
      </c>
      <c r="F213" s="180">
        <f>SUMIF(SalCommune[Allocations fonctions],$B213,SalCommune[dont heures additionnelles Avenant / personnel engagé spécifique COVID jusqu''au 31/12/2020])</f>
        <v>0</v>
      </c>
    </row>
    <row r="214" spans="2:6" x14ac:dyDescent="0.25">
      <c r="B214" s="540" t="s">
        <v>103</v>
      </c>
      <c r="C214" s="175">
        <f>SUMIF(CCTSAS[Allocation fonctions],$B214,CCTSAS[dont heures prestées en COVID entre 8:00 et 13:00 pendant la période scolaire
(période du 25/05/2020 - 15/07/2020)])</f>
        <v>0</v>
      </c>
      <c r="D214" s="175">
        <f>SUMIF(CCTSAS[Allocation fonctions],$B214,CCTSAS[dont heures additionnelles Avenant / personnel engagé spécifique COVID jusqu''au 31/12/2020])</f>
        <v>0</v>
      </c>
      <c r="E214" s="175">
        <f>SUMIF(SalCommune[Allocations fonctions],$B214,SalCommune[dont heures prestées en COVID entre 8:00 et 13:00 pendant la période scolaire
(période du 25/05/2020 - 15/07/2020)])</f>
        <v>0</v>
      </c>
      <c r="F214" s="180">
        <f>SUMIF(SalCommune[Allocations fonctions],$B214,SalCommune[dont heures additionnelles Avenant / personnel engagé spécifique COVID jusqu''au 31/12/2020])</f>
        <v>0</v>
      </c>
    </row>
    <row r="215" spans="2:6" x14ac:dyDescent="0.25">
      <c r="B215" s="540" t="s">
        <v>117</v>
      </c>
      <c r="C215" s="175">
        <f>SUMIF(CCTSAS[Allocation fonctions],$B215,CCTSAS[dont heures prestées en COVID entre 8:00 et 13:00 pendant la période scolaire
(période du 25/05/2020 - 15/07/2020)])</f>
        <v>0</v>
      </c>
      <c r="D215" s="175">
        <f>SUMIF(CCTSAS[Allocation fonctions],$B215,CCTSAS[dont heures additionnelles Avenant / personnel engagé spécifique COVID jusqu''au 31/12/2020])</f>
        <v>0</v>
      </c>
      <c r="E215" s="175">
        <f>SUMIF(SalCommune[Allocations fonctions],$B215,SalCommune[dont heures prestées en COVID entre 8:00 et 13:00 pendant la période scolaire
(période du 25/05/2020 - 15/07/2020)])</f>
        <v>0</v>
      </c>
      <c r="F215" s="180">
        <f>SUMIF(SalCommune[Allocations fonctions],$B215,SalCommune[dont heures additionnelles Avenant / personnel engagé spécifique COVID jusqu''au 31/12/2020])</f>
        <v>0</v>
      </c>
    </row>
    <row r="216" spans="2:6" x14ac:dyDescent="0.25">
      <c r="B216" s="540" t="s">
        <v>104</v>
      </c>
      <c r="C216" s="175">
        <f>SUMIF(CCTSAS[Allocation fonctions],$B216,CCTSAS[dont heures prestées en COVID entre 8:00 et 13:00 pendant la période scolaire
(période du 25/05/2020 - 15/07/2020)])</f>
        <v>0</v>
      </c>
      <c r="D216" s="175">
        <f>SUMIF(CCTSAS[Allocation fonctions],$B216,CCTSAS[dont heures additionnelles Avenant / personnel engagé spécifique COVID jusqu''au 31/12/2020])</f>
        <v>0</v>
      </c>
      <c r="E216" s="175">
        <f>SUMIF(SalCommune[Allocations fonctions],$B216,SalCommune[dont heures prestées en COVID entre 8:00 et 13:00 pendant la période scolaire
(période du 25/05/2020 - 15/07/2020)])</f>
        <v>0</v>
      </c>
      <c r="F216" s="180">
        <f>SUMIF(SalCommune[Allocations fonctions],$B216,SalCommune[dont heures additionnelles Avenant / personnel engagé spécifique COVID jusqu''au 31/12/2020])</f>
        <v>0</v>
      </c>
    </row>
    <row r="217" spans="2:6" x14ac:dyDescent="0.25">
      <c r="B217" s="540" t="s">
        <v>105</v>
      </c>
      <c r="C217" s="175">
        <f>SUMIF(CCTSAS[Allocation fonctions],$B217,CCTSAS[dont heures prestées en COVID entre 8:00 et 13:00 pendant la période scolaire
(période du 25/05/2020 - 15/07/2020)])</f>
        <v>0</v>
      </c>
      <c r="D217" s="175">
        <f>SUMIF(CCTSAS[Allocation fonctions],$B217,CCTSAS[dont heures additionnelles Avenant / personnel engagé spécifique COVID jusqu''au 31/12/2020])</f>
        <v>0</v>
      </c>
      <c r="E217" s="175">
        <f>SUMIF(SalCommune[Allocations fonctions],$B217,SalCommune[dont heures prestées en COVID entre 8:00 et 13:00 pendant la période scolaire
(période du 25/05/2020 - 15/07/2020)])</f>
        <v>0</v>
      </c>
      <c r="F217" s="180">
        <f>SUMIF(SalCommune[Allocations fonctions],$B217,SalCommune[dont heures additionnelles Avenant / personnel engagé spécifique COVID jusqu''au 31/12/2020])</f>
        <v>0</v>
      </c>
    </row>
    <row r="218" spans="2:6" x14ac:dyDescent="0.25">
      <c r="B218" s="540" t="s">
        <v>106</v>
      </c>
      <c r="C218" s="175">
        <f>SUMIF(CCTSAS[Allocation fonctions],$B218,CCTSAS[dont heures prestées en COVID entre 8:00 et 13:00 pendant la période scolaire
(période du 25/05/2020 - 15/07/2020)])</f>
        <v>0</v>
      </c>
      <c r="D218" s="175">
        <f>SUMIF(CCTSAS[Allocation fonctions],$B218,CCTSAS[dont heures additionnelles Avenant / personnel engagé spécifique COVID jusqu''au 31/12/2020])</f>
        <v>0</v>
      </c>
      <c r="E218" s="175">
        <f>SUMIF(SalCommune[Allocations fonctions],$B218,SalCommune[dont heures prestées en COVID entre 8:00 et 13:00 pendant la période scolaire
(période du 25/05/2020 - 15/07/2020)])</f>
        <v>0</v>
      </c>
      <c r="F218" s="180">
        <f>SUMIF(SalCommune[Allocations fonctions],$B218,SalCommune[dont heures additionnelles Avenant / personnel engagé spécifique COVID jusqu''au 31/12/2020])</f>
        <v>0</v>
      </c>
    </row>
    <row r="219" spans="2:6" x14ac:dyDescent="0.25">
      <c r="B219" s="540" t="s">
        <v>107</v>
      </c>
      <c r="C219" s="175">
        <f>SUMIF(CCTSAS[Allocation fonctions],$B219,CCTSAS[dont heures prestées en COVID entre 8:00 et 13:00 pendant la période scolaire
(période du 25/05/2020 - 15/07/2020)])</f>
        <v>0</v>
      </c>
      <c r="D219" s="175">
        <f>SUMIF(CCTSAS[Allocation fonctions],$B219,CCTSAS[dont heures additionnelles Avenant / personnel engagé spécifique COVID jusqu''au 31/12/2020])</f>
        <v>0</v>
      </c>
      <c r="E219" s="175">
        <f>SUMIF(SalCommune[Allocations fonctions],$B219,SalCommune[dont heures prestées en COVID entre 8:00 et 13:00 pendant la période scolaire
(période du 25/05/2020 - 15/07/2020)])</f>
        <v>0</v>
      </c>
      <c r="F219" s="180">
        <f>SUMIF(SalCommune[Allocations fonctions],$B219,SalCommune[dont heures additionnelles Avenant / personnel engagé spécifique COVID jusqu''au 31/12/2020])</f>
        <v>0</v>
      </c>
    </row>
    <row r="220" spans="2:6" x14ac:dyDescent="0.25">
      <c r="B220" s="540" t="s">
        <v>108</v>
      </c>
      <c r="C220" s="175">
        <f>SUMIF(CCTSAS[Allocation fonctions],$B220,CCTSAS[dont heures prestées en COVID entre 8:00 et 13:00 pendant la période scolaire
(période du 25/05/2020 - 15/07/2020)])</f>
        <v>0</v>
      </c>
      <c r="D220" s="175">
        <f>SUMIF(CCTSAS[Allocation fonctions],$B220,CCTSAS[dont heures additionnelles Avenant / personnel engagé spécifique COVID jusqu''au 31/12/2020])</f>
        <v>0</v>
      </c>
      <c r="E220" s="175">
        <f>SUMIF(SalCommune[Allocations fonctions],$B220,SalCommune[dont heures prestées en COVID entre 8:00 et 13:00 pendant la période scolaire
(période du 25/05/2020 - 15/07/2020)])</f>
        <v>0</v>
      </c>
      <c r="F220" s="180">
        <f>SUMIF(SalCommune[Allocations fonctions],$B220,SalCommune[dont heures additionnelles Avenant / personnel engagé spécifique COVID jusqu''au 31/12/2020])</f>
        <v>0</v>
      </c>
    </row>
    <row r="221" spans="2:6" x14ac:dyDescent="0.25">
      <c r="B221" s="540" t="s">
        <v>109</v>
      </c>
      <c r="C221" s="175">
        <f>SUMIF(CCTSAS[Allocation fonctions],$B221,CCTSAS[dont heures prestées en COVID entre 8:00 et 13:00 pendant la période scolaire
(période du 25/05/2020 - 15/07/2020)])</f>
        <v>0</v>
      </c>
      <c r="D221" s="175">
        <f>SUMIF(CCTSAS[Allocation fonctions],$B221,CCTSAS[dont heures additionnelles Avenant / personnel engagé spécifique COVID jusqu''au 31/12/2020])</f>
        <v>0</v>
      </c>
      <c r="E221" s="175">
        <f>SUMIF(SalCommune[Allocations fonctions],$B221,SalCommune[dont heures prestées en COVID entre 8:00 et 13:00 pendant la période scolaire
(période du 25/05/2020 - 15/07/2020)])</f>
        <v>0</v>
      </c>
      <c r="F221" s="180">
        <f>SUMIF(SalCommune[Allocations fonctions],$B221,SalCommune[dont heures additionnelles Avenant / personnel engagé spécifique COVID jusqu''au 31/12/2020])</f>
        <v>0</v>
      </c>
    </row>
    <row r="222" spans="2:6" x14ac:dyDescent="0.25">
      <c r="B222" s="540" t="s">
        <v>110</v>
      </c>
      <c r="C222" s="175">
        <f>SUMIF(CCTSAS[Allocation fonctions],$B222,CCTSAS[dont heures prestées en COVID entre 8:00 et 13:00 pendant la période scolaire
(période du 25/05/2020 - 15/07/2020)])</f>
        <v>0</v>
      </c>
      <c r="D222" s="175">
        <f>SUMIF(CCTSAS[Allocation fonctions],$B222,CCTSAS[dont heures additionnelles Avenant / personnel engagé spécifique COVID jusqu''au 31/12/2020])</f>
        <v>0</v>
      </c>
      <c r="E222" s="175">
        <f>SUMIF(SalCommune[Allocations fonctions],$B222,SalCommune[dont heures prestées en COVID entre 8:00 et 13:00 pendant la période scolaire
(période du 25/05/2020 - 15/07/2020)])</f>
        <v>0</v>
      </c>
      <c r="F222" s="180">
        <f>SUMIF(SalCommune[Allocations fonctions],$B222,SalCommune[dont heures additionnelles Avenant / personnel engagé spécifique COVID jusqu''au 31/12/2020])</f>
        <v>0</v>
      </c>
    </row>
    <row r="223" spans="2:6" x14ac:dyDescent="0.25">
      <c r="B223" s="540" t="s">
        <v>111</v>
      </c>
      <c r="C223" s="175">
        <f>SUMIF(CCTSAS[Allocation fonctions],$B223,CCTSAS[dont heures prestées en COVID entre 8:00 et 13:00 pendant la période scolaire
(période du 25/05/2020 - 15/07/2020)])</f>
        <v>0</v>
      </c>
      <c r="D223" s="175">
        <f>SUMIF(CCTSAS[Allocation fonctions],$B223,CCTSAS[dont heures additionnelles Avenant / personnel engagé spécifique COVID jusqu''au 31/12/2020])</f>
        <v>0</v>
      </c>
      <c r="E223" s="175">
        <f>SUMIF(SalCommune[Allocations fonctions],$B223,SalCommune[dont heures prestées en COVID entre 8:00 et 13:00 pendant la période scolaire
(période du 25/05/2020 - 15/07/2020)])</f>
        <v>0</v>
      </c>
      <c r="F223" s="541">
        <f>SUMIF(SalCommune[Allocations fonctions],$B223,SalCommune[dont heures additionnelles Avenant / personnel engagé spécifique COVID jusqu''au 31/12/2020])</f>
        <v>0</v>
      </c>
    </row>
    <row r="224" spans="2:6" x14ac:dyDescent="0.25">
      <c r="B224" s="540" t="s">
        <v>112</v>
      </c>
      <c r="C224" s="175">
        <f>SUMIF(CCTSAS[Allocation fonctions],$B224,CCTSAS[dont heures prestées en COVID entre 8:00 et 13:00 pendant la période scolaire
(période du 25/05/2020 - 15/07/2020)])</f>
        <v>0</v>
      </c>
      <c r="D224" s="175">
        <f>SUMIF(CCTSAS[Allocation fonctions],$B224,CCTSAS[dont heures additionnelles Avenant / personnel engagé spécifique COVID jusqu''au 31/12/2020])</f>
        <v>0</v>
      </c>
      <c r="E224" s="175">
        <f>SUMIF(SalCommune[Allocations fonctions],$B224,SalCommune[dont heures prestées en COVID entre 8:00 et 13:00 pendant la période scolaire
(période du 25/05/2020 - 15/07/2020)])</f>
        <v>0</v>
      </c>
      <c r="F224" s="541">
        <f>SUMIF(SalCommune[Allocations fonctions],$B224,SalCommune[dont heures additionnelles Avenant / personnel engagé spécifique COVID jusqu''au 31/12/2020])</f>
        <v>0</v>
      </c>
    </row>
    <row r="225" spans="2:6" x14ac:dyDescent="0.25">
      <c r="B225" s="540" t="s">
        <v>113</v>
      </c>
      <c r="C225" s="175">
        <f>SUMIF(CCTSAS[Allocation fonctions],$B225,CCTSAS[dont heures prestées en COVID entre 8:00 et 13:00 pendant la période scolaire
(période du 25/05/2020 - 15/07/2020)])</f>
        <v>0</v>
      </c>
      <c r="D225" s="175">
        <f>SUMIF(CCTSAS[Allocation fonctions],$B225,CCTSAS[dont heures additionnelles Avenant / personnel engagé spécifique COVID jusqu''au 31/12/2020])</f>
        <v>0</v>
      </c>
      <c r="E225" s="175">
        <f>SUMIF(SalCommune[Allocations fonctions],$B225,SalCommune[dont heures prestées en COVID entre 8:00 et 13:00 pendant la période scolaire
(période du 25/05/2020 - 15/07/2020)])</f>
        <v>0</v>
      </c>
      <c r="F225" s="541">
        <f>SUMIF(SalCommune[Allocations fonctions],$B225,SalCommune[dont heures additionnelles Avenant / personnel engagé spécifique COVID jusqu''au 31/12/2020])</f>
        <v>0</v>
      </c>
    </row>
    <row r="226" spans="2:6" x14ac:dyDescent="0.25">
      <c r="B226" s="540" t="s">
        <v>114</v>
      </c>
      <c r="C226" s="175">
        <f>SUMIF(CCTSAS[Allocation fonctions],$B226,CCTSAS[dont heures prestées en COVID entre 8:00 et 13:00 pendant la période scolaire
(période du 25/05/2020 - 15/07/2020)])</f>
        <v>0</v>
      </c>
      <c r="D226" s="175">
        <f>SUMIF(CCTSAS[Allocation fonctions],$B226,CCTSAS[dont heures additionnelles Avenant / personnel engagé spécifique COVID jusqu''au 31/12/2020])</f>
        <v>0</v>
      </c>
      <c r="E226" s="175">
        <f>SUMIF(SalCommune[Allocations fonctions],$B226,SalCommune[dont heures prestées en COVID entre 8:00 et 13:00 pendant la période scolaire
(période du 25/05/2020 - 15/07/2020)])</f>
        <v>0</v>
      </c>
      <c r="F226" s="541">
        <f>SUMIF(SalCommune[Allocations fonctions],$B226,SalCommune[dont heures additionnelles Avenant / personnel engagé spécifique COVID jusqu''au 31/12/2020])</f>
        <v>0</v>
      </c>
    </row>
    <row r="227" spans="2:6" x14ac:dyDescent="0.25">
      <c r="B227" s="540" t="s">
        <v>115</v>
      </c>
      <c r="C227" s="175">
        <f>SUMIF(CCTSAS[Allocation fonctions],$B227,CCTSAS[dont heures prestées en COVID entre 8:00 et 13:00 pendant la période scolaire
(période du 25/05/2020 - 15/07/2020)])</f>
        <v>0</v>
      </c>
      <c r="D227" s="175">
        <f>SUMIF(CCTSAS[Allocation fonctions],$B227,CCTSAS[dont heures additionnelles Avenant / personnel engagé spécifique COVID jusqu''au 31/12/2020])</f>
        <v>0</v>
      </c>
      <c r="E227" s="175">
        <f>SUMIF(SalCommune[Allocations fonctions],$B227,SalCommune[dont heures prestées en COVID entre 8:00 et 13:00 pendant la période scolaire
(période du 25/05/2020 - 15/07/2020)])</f>
        <v>0</v>
      </c>
      <c r="F227" s="541">
        <f>SUMIF(SalCommune[Allocations fonctions],$B227,SalCommune[dont heures additionnelles Avenant / personnel engagé spécifique COVID jusqu''au 31/12/2020])</f>
        <v>0</v>
      </c>
    </row>
    <row r="228" spans="2:6" x14ac:dyDescent="0.25">
      <c r="B228" s="540" t="s">
        <v>116</v>
      </c>
      <c r="C228" s="175">
        <f>SUMIF(CCTSAS[Allocation fonctions],$B228,CCTSAS[dont heures prestées en COVID entre 8:00 et 13:00 pendant la période scolaire
(période du 25/05/2020 - 15/07/2020)])</f>
        <v>0</v>
      </c>
      <c r="D228" s="175">
        <f>SUMIF(CCTSAS[Allocation fonctions],$B228,CCTSAS[dont heures additionnelles Avenant / personnel engagé spécifique COVID jusqu''au 31/12/2020])</f>
        <v>0</v>
      </c>
      <c r="E228" s="175">
        <f>SUMIF(SalCommune[Allocations fonctions],$B228,SalCommune[dont heures prestées en COVID entre 8:00 et 13:00 pendant la période scolaire
(période du 25/05/2020 - 15/07/2020)])</f>
        <v>0</v>
      </c>
      <c r="F228" s="539">
        <f>SUMIF(SalCommune[Allocations fonctions],$B228,SalCommune[dont heures additionnelles Avenant / personnel engagé spécifique COVID jusqu''au 31/12/2020])</f>
        <v>0</v>
      </c>
    </row>
    <row r="229" spans="2:6" x14ac:dyDescent="0.25">
      <c r="B229" s="538"/>
      <c r="C229" s="537">
        <f>SUM(C210:C228)</f>
        <v>0</v>
      </c>
      <c r="D229" s="537">
        <f>SUM(D210:D228)</f>
        <v>0</v>
      </c>
      <c r="E229" s="537">
        <f>SUM(E210:E228)</f>
        <v>0</v>
      </c>
      <c r="F229" s="536">
        <f>SUM(F210:F228)</f>
        <v>0</v>
      </c>
    </row>
  </sheetData>
  <mergeCells count="6">
    <mergeCell ref="O10:O28"/>
    <mergeCell ref="O29:O47"/>
    <mergeCell ref="O48:O66"/>
    <mergeCell ref="O67:O74"/>
    <mergeCell ref="A107:A150"/>
    <mergeCell ref="C130:D130"/>
  </mergeCells>
  <conditionalFormatting sqref="C162">
    <cfRule type="cellIs" dxfId="19" priority="6" operator="greaterThan">
      <formula>" -   € "</formula>
    </cfRule>
  </conditionalFormatting>
  <conditionalFormatting sqref="F162">
    <cfRule type="cellIs" dxfId="18" priority="5" operator="greaterThan">
      <formula>" -   € "</formula>
    </cfRule>
  </conditionalFormatting>
  <hyperlinks>
    <hyperlink ref="E16" location="Redressement" display="Redressement" xr:uid="{CE659AE3-2096-4049-8642-1F87709CB7C9}"/>
  </hyperlinks>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expression" priority="4" id="{D3118227-2D93-46B1-8912-07B38D97723A}">
            <xm:f>$C$66='Variable et Dropdowns'!$A$6</xm:f>
            <x14:dxf>
              <font>
                <color theme="0"/>
              </font>
              <fill>
                <patternFill>
                  <bgColor theme="0"/>
                </patternFill>
              </fill>
              <border>
                <left/>
                <right/>
                <top/>
                <bottom/>
                <vertical/>
                <horizontal/>
              </border>
            </x14:dxf>
          </x14:cfRule>
          <xm:sqref>D185</xm:sqref>
        </x14:conditionalFormatting>
        <x14:conditionalFormatting xmlns:xm="http://schemas.microsoft.com/office/excel/2006/main">
          <x14:cfRule type="expression" priority="3" id="{A7F8D65D-0D36-4DB1-B19A-B22181CC68C0}">
            <xm:f>$C$66='Variable et Dropdowns'!$A$6</xm:f>
            <x14:dxf>
              <font>
                <color theme="0"/>
              </font>
              <fill>
                <patternFill>
                  <bgColor theme="0"/>
                </patternFill>
              </fill>
              <border>
                <left/>
                <right/>
                <top/>
                <bottom/>
                <vertical/>
                <horizontal/>
              </border>
            </x14:dxf>
          </x14:cfRule>
          <xm:sqref>D186</xm:sqref>
        </x14:conditionalFormatting>
        <x14:conditionalFormatting xmlns:xm="http://schemas.microsoft.com/office/excel/2006/main">
          <x14:cfRule type="expression" priority="2" id="{EF0368CC-5309-4F6C-A291-331C9BE33D0C}">
            <xm:f>$C$66='Variable et Dropdowns'!$A$6</xm:f>
            <x14:dxf>
              <font>
                <color theme="0"/>
              </font>
              <fill>
                <patternFill>
                  <bgColor theme="0"/>
                </patternFill>
              </fill>
              <border>
                <left/>
                <right/>
                <top/>
                <bottom/>
                <vertical/>
                <horizontal/>
              </border>
            </x14:dxf>
          </x14:cfRule>
          <xm:sqref>G185</xm:sqref>
        </x14:conditionalFormatting>
        <x14:conditionalFormatting xmlns:xm="http://schemas.microsoft.com/office/excel/2006/main">
          <x14:cfRule type="expression" priority="1" id="{6B95AAB2-1D94-48B9-81B1-8A1BA196A2C0}">
            <xm:f>$C$66='Variable et Dropdowns'!$A$6</xm:f>
            <x14:dxf>
              <font>
                <color theme="0"/>
              </font>
              <fill>
                <patternFill>
                  <bgColor theme="0"/>
                </patternFill>
              </fill>
              <border>
                <left/>
                <right/>
                <top/>
                <bottom/>
                <vertical/>
                <horizontal/>
              </border>
            </x14:dxf>
          </x14:cfRule>
          <xm:sqref>G186</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theme="1"/>
  </sheetPr>
  <dimension ref="A1:K23"/>
  <sheetViews>
    <sheetView workbookViewId="0">
      <selection activeCell="E22" sqref="E22"/>
    </sheetView>
  </sheetViews>
  <sheetFormatPr defaultColWidth="9.140625" defaultRowHeight="15" x14ac:dyDescent="0.25"/>
  <cols>
    <col min="1" max="1" width="50.85546875" style="2" customWidth="1"/>
    <col min="2" max="2" width="12.42578125" style="2" bestFit="1" customWidth="1"/>
    <col min="3" max="3" width="16.28515625" style="2" customWidth="1"/>
    <col min="4" max="4" width="9.28515625" style="2" customWidth="1"/>
    <col min="5" max="6" width="13.140625" style="2" customWidth="1"/>
    <col min="7" max="7" width="25.28515625" style="2" hidden="1" customWidth="1"/>
    <col min="8" max="12" width="9.140625" style="2"/>
    <col min="13" max="13" width="17.5703125" style="2" customWidth="1"/>
    <col min="14" max="16384" width="9.140625" style="2"/>
  </cols>
  <sheetData>
    <row r="1" spans="1:11" ht="15.75" x14ac:dyDescent="0.25">
      <c r="A1" s="324"/>
      <c r="B1" s="74"/>
      <c r="C1" s="74"/>
      <c r="D1" s="74"/>
      <c r="E1" s="74"/>
      <c r="F1" s="74"/>
      <c r="G1" s="74"/>
    </row>
    <row r="2" spans="1:11" ht="15.75" x14ac:dyDescent="0.25">
      <c r="A2" s="325" t="s">
        <v>306</v>
      </c>
      <c r="B2" s="74"/>
      <c r="C2" s="325"/>
      <c r="D2" s="325"/>
      <c r="E2" s="325"/>
      <c r="F2" s="325"/>
      <c r="G2" s="325"/>
    </row>
    <row r="3" spans="1:11" ht="15.75" x14ac:dyDescent="0.25">
      <c r="A3" s="74"/>
      <c r="B3" s="74"/>
      <c r="C3" s="74"/>
      <c r="D3" s="74"/>
      <c r="E3" s="74"/>
      <c r="F3" s="74"/>
      <c r="G3" s="320"/>
    </row>
    <row r="4" spans="1:11" ht="15.75" x14ac:dyDescent="0.25">
      <c r="A4" s="326" t="s">
        <v>307</v>
      </c>
      <c r="B4" s="585">
        <f>'Informations générales 1'!C10</f>
        <v>2020</v>
      </c>
      <c r="C4" s="586"/>
      <c r="D4" s="586"/>
      <c r="E4" s="586"/>
      <c r="F4" s="586"/>
      <c r="G4" s="327"/>
    </row>
    <row r="5" spans="1:11" ht="16.5" thickBot="1" x14ac:dyDescent="0.3">
      <c r="A5" s="328"/>
      <c r="B5" s="329" t="s">
        <v>308</v>
      </c>
      <c r="C5" s="330" t="s">
        <v>309</v>
      </c>
      <c r="D5" s="331" t="s">
        <v>310</v>
      </c>
      <c r="E5" s="332" t="s">
        <v>311</v>
      </c>
      <c r="F5" s="332" t="s">
        <v>312</v>
      </c>
      <c r="G5" s="333" t="s">
        <v>313</v>
      </c>
    </row>
    <row r="6" spans="1:11" ht="15.75" x14ac:dyDescent="0.25">
      <c r="A6" s="334" t="s">
        <v>314</v>
      </c>
      <c r="B6" s="335">
        <v>366</v>
      </c>
      <c r="C6" s="336">
        <v>8</v>
      </c>
      <c r="D6" s="337">
        <v>8</v>
      </c>
      <c r="E6" s="337">
        <f>B6*C6</f>
        <v>2928</v>
      </c>
      <c r="F6" s="337">
        <f>B6*D6</f>
        <v>2928</v>
      </c>
      <c r="G6" s="338"/>
    </row>
    <row r="7" spans="1:11" ht="15.75" x14ac:dyDescent="0.25">
      <c r="A7" s="339" t="s">
        <v>315</v>
      </c>
      <c r="B7" s="340">
        <v>104</v>
      </c>
      <c r="C7" s="341">
        <f>B7*8</f>
        <v>832</v>
      </c>
      <c r="D7" s="342">
        <f>B7*8</f>
        <v>832</v>
      </c>
      <c r="E7" s="343">
        <f>+E6-C7</f>
        <v>2096</v>
      </c>
      <c r="F7" s="343">
        <f>+F6-D7</f>
        <v>2096</v>
      </c>
      <c r="G7" s="344" t="s">
        <v>316</v>
      </c>
    </row>
    <row r="8" spans="1:11" ht="15.75" x14ac:dyDescent="0.25">
      <c r="A8" s="339" t="s">
        <v>317</v>
      </c>
      <c r="B8" s="340">
        <v>11</v>
      </c>
      <c r="C8" s="341">
        <f>B8*8</f>
        <v>88</v>
      </c>
      <c r="D8" s="342">
        <f>B8*8</f>
        <v>88</v>
      </c>
      <c r="E8" s="342">
        <f t="shared" ref="E8:F17" si="0">E7-C8</f>
        <v>2008</v>
      </c>
      <c r="F8" s="342">
        <f t="shared" si="0"/>
        <v>2008</v>
      </c>
      <c r="G8" s="345" t="s">
        <v>318</v>
      </c>
      <c r="I8" s="346"/>
    </row>
    <row r="9" spans="1:11" ht="15.75" x14ac:dyDescent="0.25">
      <c r="A9" s="339" t="s">
        <v>319</v>
      </c>
      <c r="B9" s="340">
        <v>4</v>
      </c>
      <c r="C9" s="341">
        <f>B9*8</f>
        <v>32</v>
      </c>
      <c r="D9" s="342">
        <f>B9*8</f>
        <v>32</v>
      </c>
      <c r="E9" s="342">
        <f t="shared" si="0"/>
        <v>1976</v>
      </c>
      <c r="F9" s="342">
        <f>F8-D9</f>
        <v>1976</v>
      </c>
      <c r="G9" s="345" t="s">
        <v>320</v>
      </c>
      <c r="I9" s="346"/>
    </row>
    <row r="10" spans="1:11" ht="15.75" x14ac:dyDescent="0.25">
      <c r="A10" s="339" t="s">
        <v>321</v>
      </c>
      <c r="B10" s="347" t="s">
        <v>322</v>
      </c>
      <c r="C10" s="341">
        <f>29*8</f>
        <v>232</v>
      </c>
      <c r="D10" s="342">
        <f>32*8</f>
        <v>256</v>
      </c>
      <c r="E10" s="342">
        <f>E9-C10</f>
        <v>1744</v>
      </c>
      <c r="F10" s="342">
        <f>F9-D10</f>
        <v>1720</v>
      </c>
      <c r="G10" s="345" t="s">
        <v>323</v>
      </c>
      <c r="K10" s="348"/>
    </row>
    <row r="11" spans="1:11" ht="15.75" x14ac:dyDescent="0.25">
      <c r="A11" s="349" t="s">
        <v>324</v>
      </c>
      <c r="B11" s="350"/>
      <c r="C11" s="351"/>
      <c r="D11" s="343"/>
      <c r="E11" s="343">
        <f>E10-C11</f>
        <v>1744</v>
      </c>
      <c r="F11" s="343">
        <f t="shared" si="0"/>
        <v>1720</v>
      </c>
      <c r="G11" s="352"/>
    </row>
    <row r="12" spans="1:11" ht="16.5" thickBot="1" x14ac:dyDescent="0.3">
      <c r="A12" s="353" t="s">
        <v>325</v>
      </c>
      <c r="B12" s="354">
        <v>3</v>
      </c>
      <c r="C12" s="341">
        <f>B12*8</f>
        <v>24</v>
      </c>
      <c r="D12" s="342">
        <f>B12*8</f>
        <v>24</v>
      </c>
      <c r="E12" s="355">
        <f t="shared" ref="E12:F14" si="1">E11-C12</f>
        <v>1720</v>
      </c>
      <c r="F12" s="355">
        <f t="shared" si="1"/>
        <v>1696</v>
      </c>
      <c r="G12" s="356" t="s">
        <v>326</v>
      </c>
      <c r="K12" s="348"/>
    </row>
    <row r="13" spans="1:11" s="362" customFormat="1" ht="15.75" customHeight="1" x14ac:dyDescent="0.25">
      <c r="A13" s="357" t="s">
        <v>327</v>
      </c>
      <c r="B13" s="358" t="s">
        <v>328</v>
      </c>
      <c r="C13" s="359">
        <v>0</v>
      </c>
      <c r="D13" s="360">
        <f>ROUNDUP(F11*5%,0)</f>
        <v>86</v>
      </c>
      <c r="E13" s="360">
        <f>E12-C13</f>
        <v>1720</v>
      </c>
      <c r="F13" s="360">
        <f t="shared" si="1"/>
        <v>1610</v>
      </c>
      <c r="G13" s="361" t="s">
        <v>329</v>
      </c>
    </row>
    <row r="14" spans="1:11" s="362" customFormat="1" ht="15.75" x14ac:dyDescent="0.25">
      <c r="A14" s="363" t="s">
        <v>330</v>
      </c>
      <c r="B14" s="364"/>
      <c r="C14" s="365">
        <v>1</v>
      </c>
      <c r="D14" s="366">
        <v>1</v>
      </c>
      <c r="E14" s="366">
        <f t="shared" si="1"/>
        <v>1719</v>
      </c>
      <c r="F14" s="366">
        <f t="shared" si="1"/>
        <v>1609</v>
      </c>
      <c r="G14" s="367" t="s">
        <v>323</v>
      </c>
    </row>
    <row r="15" spans="1:11" s="362" customFormat="1" ht="15.75" x14ac:dyDescent="0.25">
      <c r="A15" s="363" t="s">
        <v>331</v>
      </c>
      <c r="B15" s="364"/>
      <c r="C15" s="365">
        <v>2</v>
      </c>
      <c r="D15" s="366">
        <v>2</v>
      </c>
      <c r="E15" s="366">
        <f>E14-C15</f>
        <v>1717</v>
      </c>
      <c r="F15" s="366">
        <f t="shared" si="0"/>
        <v>1607</v>
      </c>
      <c r="G15" s="367" t="s">
        <v>332</v>
      </c>
    </row>
    <row r="16" spans="1:11" s="362" customFormat="1" ht="19.5" customHeight="1" thickBot="1" x14ac:dyDescent="0.3">
      <c r="A16" s="368" t="s">
        <v>333</v>
      </c>
      <c r="B16" s="369"/>
      <c r="C16" s="370">
        <v>6</v>
      </c>
      <c r="D16" s="371">
        <v>6</v>
      </c>
      <c r="E16" s="371">
        <f>E15-C16</f>
        <v>1711</v>
      </c>
      <c r="F16" s="371">
        <f>F15-D16</f>
        <v>1601</v>
      </c>
      <c r="G16" s="372" t="s">
        <v>334</v>
      </c>
    </row>
    <row r="17" spans="1:7" ht="15.75" x14ac:dyDescent="0.25">
      <c r="A17" s="373" t="s">
        <v>335</v>
      </c>
      <c r="B17" s="4"/>
      <c r="C17" s="374">
        <v>154</v>
      </c>
      <c r="D17" s="375">
        <v>154</v>
      </c>
      <c r="E17" s="375">
        <f>E16-C17</f>
        <v>1557</v>
      </c>
      <c r="F17" s="375">
        <f t="shared" si="0"/>
        <v>1447</v>
      </c>
      <c r="G17" s="344" t="s">
        <v>336</v>
      </c>
    </row>
    <row r="18" spans="1:7" s="362" customFormat="1" ht="15.75" x14ac:dyDescent="0.25">
      <c r="A18" s="376" t="s">
        <v>337</v>
      </c>
      <c r="B18" s="364"/>
      <c r="C18" s="365"/>
      <c r="D18" s="366"/>
      <c r="E18" s="377">
        <f>E17</f>
        <v>1557</v>
      </c>
      <c r="F18" s="377">
        <f>F17</f>
        <v>1447</v>
      </c>
      <c r="G18" s="378"/>
    </row>
    <row r="19" spans="1:7" x14ac:dyDescent="0.25">
      <c r="A19" s="2" t="s">
        <v>338</v>
      </c>
    </row>
    <row r="20" spans="1:7" x14ac:dyDescent="0.25">
      <c r="B20" s="348"/>
    </row>
    <row r="21" spans="1:7" x14ac:dyDescent="0.25">
      <c r="F21" s="348"/>
    </row>
    <row r="23" spans="1:7" x14ac:dyDescent="0.25">
      <c r="F23" s="348"/>
    </row>
  </sheetData>
  <sheetProtection algorithmName="SHA-512" hashValue="Ll79Jbf4biXCzbZg+N4SDDB4mtwEEt+LFT7oKadNvI12sbXVOUB4RQTh88iCBdrs9xRYpmbwfxG6eNO1y5jxvw==" saltValue="xn7s4V9LbvnO3KCC03IHhQ==" spinCount="100000" sheet="1" selectLockedCells="1"/>
  <mergeCells count="1">
    <mergeCell ref="B4:F4"/>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theme="1"/>
  </sheetPr>
  <dimension ref="B2:D82"/>
  <sheetViews>
    <sheetView workbookViewId="0">
      <selection activeCell="D10" sqref="D10"/>
    </sheetView>
  </sheetViews>
  <sheetFormatPr defaultColWidth="9.140625" defaultRowHeight="15" x14ac:dyDescent="0.25"/>
  <cols>
    <col min="1" max="1" width="3.42578125" style="2" customWidth="1"/>
    <col min="2" max="2" width="9.140625" style="2"/>
    <col min="3" max="3" width="23.42578125" style="2" bestFit="1" customWidth="1"/>
    <col min="4" max="4" width="82.42578125" style="2" customWidth="1"/>
    <col min="5" max="16384" width="9.140625" style="2"/>
  </cols>
  <sheetData>
    <row r="2" spans="2:4" x14ac:dyDescent="0.25">
      <c r="B2" s="32" t="s">
        <v>147</v>
      </c>
      <c r="C2" s="33"/>
      <c r="D2" s="34"/>
    </row>
    <row r="3" spans="2:4" ht="45" x14ac:dyDescent="0.25">
      <c r="B3" s="590" t="s">
        <v>148</v>
      </c>
      <c r="C3" s="35" t="s">
        <v>149</v>
      </c>
      <c r="D3" s="46" t="s">
        <v>150</v>
      </c>
    </row>
    <row r="4" spans="2:4" x14ac:dyDescent="0.25">
      <c r="B4" s="591"/>
      <c r="C4" s="35" t="s">
        <v>151</v>
      </c>
      <c r="D4" s="46" t="s">
        <v>152</v>
      </c>
    </row>
    <row r="5" spans="2:4" x14ac:dyDescent="0.25">
      <c r="B5" s="591"/>
      <c r="C5" s="35" t="s">
        <v>153</v>
      </c>
      <c r="D5" s="46" t="s">
        <v>154</v>
      </c>
    </row>
    <row r="6" spans="2:4" ht="30" x14ac:dyDescent="0.25">
      <c r="B6" s="591"/>
      <c r="C6" s="35" t="s">
        <v>155</v>
      </c>
      <c r="D6" s="46" t="s">
        <v>156</v>
      </c>
    </row>
    <row r="7" spans="2:4" x14ac:dyDescent="0.25">
      <c r="B7" s="592"/>
      <c r="C7" s="35" t="s">
        <v>157</v>
      </c>
      <c r="D7" s="46" t="s">
        <v>158</v>
      </c>
    </row>
    <row r="8" spans="2:4" ht="15" customHeight="1" x14ac:dyDescent="0.25">
      <c r="B8" s="590" t="s">
        <v>159</v>
      </c>
      <c r="C8" s="35" t="s">
        <v>160</v>
      </c>
      <c r="D8" s="46" t="s">
        <v>161</v>
      </c>
    </row>
    <row r="9" spans="2:4" x14ac:dyDescent="0.25">
      <c r="B9" s="591"/>
      <c r="C9" s="35" t="s">
        <v>162</v>
      </c>
      <c r="D9" s="46" t="s">
        <v>161</v>
      </c>
    </row>
    <row r="10" spans="2:4" x14ac:dyDescent="0.25">
      <c r="B10" s="591"/>
      <c r="C10" s="35" t="s">
        <v>163</v>
      </c>
      <c r="D10" s="46" t="s">
        <v>164</v>
      </c>
    </row>
    <row r="11" spans="2:4" x14ac:dyDescent="0.25">
      <c r="B11" s="591"/>
      <c r="C11" s="35" t="s">
        <v>165</v>
      </c>
      <c r="D11" s="46" t="s">
        <v>164</v>
      </c>
    </row>
    <row r="12" spans="2:4" x14ac:dyDescent="0.25">
      <c r="B12" s="591"/>
      <c r="C12" s="35" t="s">
        <v>166</v>
      </c>
      <c r="D12" s="46" t="s">
        <v>167</v>
      </c>
    </row>
    <row r="13" spans="2:4" x14ac:dyDescent="0.25">
      <c r="B13" s="591"/>
      <c r="C13" s="35" t="s">
        <v>168</v>
      </c>
      <c r="D13" s="46" t="s">
        <v>167</v>
      </c>
    </row>
    <row r="14" spans="2:4" x14ac:dyDescent="0.25">
      <c r="B14" s="591"/>
      <c r="C14" s="35" t="s">
        <v>169</v>
      </c>
      <c r="D14" s="46" t="s">
        <v>170</v>
      </c>
    </row>
    <row r="15" spans="2:4" x14ac:dyDescent="0.25">
      <c r="B15" s="591"/>
      <c r="C15" s="35" t="s">
        <v>171</v>
      </c>
      <c r="D15" s="46" t="s">
        <v>170</v>
      </c>
    </row>
    <row r="16" spans="2:4" x14ac:dyDescent="0.25">
      <c r="B16" s="591"/>
      <c r="C16" s="35" t="s">
        <v>172</v>
      </c>
      <c r="D16" s="46" t="s">
        <v>170</v>
      </c>
    </row>
    <row r="17" spans="2:4" x14ac:dyDescent="0.25">
      <c r="B17" s="591"/>
      <c r="C17" s="35" t="s">
        <v>173</v>
      </c>
      <c r="D17" s="46" t="s">
        <v>170</v>
      </c>
    </row>
    <row r="18" spans="2:4" x14ac:dyDescent="0.25">
      <c r="B18" s="591"/>
      <c r="C18" s="35" t="s">
        <v>174</v>
      </c>
      <c r="D18" s="46" t="s">
        <v>175</v>
      </c>
    </row>
    <row r="19" spans="2:4" x14ac:dyDescent="0.25">
      <c r="B19" s="591"/>
      <c r="C19" s="35" t="s">
        <v>176</v>
      </c>
      <c r="D19" s="46" t="s">
        <v>175</v>
      </c>
    </row>
    <row r="20" spans="2:4" x14ac:dyDescent="0.25">
      <c r="B20" s="591"/>
      <c r="C20" s="35" t="s">
        <v>177</v>
      </c>
      <c r="D20" s="46" t="s">
        <v>175</v>
      </c>
    </row>
    <row r="21" spans="2:4" x14ac:dyDescent="0.25">
      <c r="B21" s="591"/>
      <c r="C21" s="35" t="s">
        <v>178</v>
      </c>
      <c r="D21" s="46" t="s">
        <v>179</v>
      </c>
    </row>
    <row r="22" spans="2:4" x14ac:dyDescent="0.25">
      <c r="B22" s="592"/>
      <c r="C22" s="35" t="s">
        <v>180</v>
      </c>
      <c r="D22" s="46" t="s">
        <v>179</v>
      </c>
    </row>
    <row r="23" spans="2:4" ht="15" customHeight="1" x14ac:dyDescent="0.25">
      <c r="B23" s="590" t="s">
        <v>181</v>
      </c>
      <c r="C23" s="35" t="s">
        <v>182</v>
      </c>
      <c r="D23" s="46" t="s">
        <v>183</v>
      </c>
    </row>
    <row r="24" spans="2:4" x14ac:dyDescent="0.25">
      <c r="B24" s="591"/>
      <c r="C24" s="35" t="s">
        <v>184</v>
      </c>
      <c r="D24" s="46" t="s">
        <v>183</v>
      </c>
    </row>
    <row r="25" spans="2:4" ht="30" x14ac:dyDescent="0.25">
      <c r="B25" s="591"/>
      <c r="C25" s="35" t="s">
        <v>185</v>
      </c>
      <c r="D25" s="46" t="s">
        <v>186</v>
      </c>
    </row>
    <row r="26" spans="2:4" ht="30" x14ac:dyDescent="0.25">
      <c r="B26" s="591"/>
      <c r="C26" s="35" t="s">
        <v>187</v>
      </c>
      <c r="D26" s="46" t="s">
        <v>186</v>
      </c>
    </row>
    <row r="27" spans="2:4" ht="60" x14ac:dyDescent="0.25">
      <c r="B27" s="591"/>
      <c r="C27" s="35" t="s">
        <v>188</v>
      </c>
      <c r="D27" s="46" t="s">
        <v>189</v>
      </c>
    </row>
    <row r="28" spans="2:4" ht="60" x14ac:dyDescent="0.25">
      <c r="B28" s="591"/>
      <c r="C28" s="35" t="s">
        <v>190</v>
      </c>
      <c r="D28" s="46" t="s">
        <v>189</v>
      </c>
    </row>
    <row r="29" spans="2:4" ht="30" x14ac:dyDescent="0.25">
      <c r="B29" s="591"/>
      <c r="C29" s="35" t="s">
        <v>191</v>
      </c>
      <c r="D29" s="46" t="s">
        <v>192</v>
      </c>
    </row>
    <row r="30" spans="2:4" ht="30" x14ac:dyDescent="0.25">
      <c r="B30" s="591"/>
      <c r="C30" s="35" t="s">
        <v>193</v>
      </c>
      <c r="D30" s="46" t="s">
        <v>192</v>
      </c>
    </row>
    <row r="31" spans="2:4" ht="30" x14ac:dyDescent="0.25">
      <c r="B31" s="591"/>
      <c r="C31" s="35" t="s">
        <v>194</v>
      </c>
      <c r="D31" s="46" t="s">
        <v>195</v>
      </c>
    </row>
    <row r="32" spans="2:4" ht="30" x14ac:dyDescent="0.25">
      <c r="B32" s="591"/>
      <c r="C32" s="35" t="s">
        <v>194</v>
      </c>
      <c r="D32" s="46" t="s">
        <v>195</v>
      </c>
    </row>
    <row r="33" spans="2:4" x14ac:dyDescent="0.25">
      <c r="B33" s="592"/>
      <c r="C33" s="35" t="s">
        <v>196</v>
      </c>
      <c r="D33" s="46" t="s">
        <v>197</v>
      </c>
    </row>
    <row r="34" spans="2:4" x14ac:dyDescent="0.25">
      <c r="B34" s="593" t="s">
        <v>198</v>
      </c>
      <c r="C34" s="35" t="s">
        <v>199</v>
      </c>
      <c r="D34" s="46" t="s">
        <v>200</v>
      </c>
    </row>
    <row r="35" spans="2:4" ht="30" x14ac:dyDescent="0.25">
      <c r="B35" s="594"/>
      <c r="C35" s="35" t="s">
        <v>201</v>
      </c>
      <c r="D35" s="46" t="s">
        <v>202</v>
      </c>
    </row>
    <row r="36" spans="2:4" x14ac:dyDescent="0.25">
      <c r="B36" s="594"/>
      <c r="C36" s="35" t="s">
        <v>203</v>
      </c>
      <c r="D36" s="46" t="s">
        <v>204</v>
      </c>
    </row>
    <row r="37" spans="2:4" x14ac:dyDescent="0.25">
      <c r="B37" s="595"/>
      <c r="C37" s="35" t="s">
        <v>205</v>
      </c>
      <c r="D37" s="46" t="s">
        <v>204</v>
      </c>
    </row>
    <row r="38" spans="2:4" x14ac:dyDescent="0.25">
      <c r="C38" s="35" t="s">
        <v>206</v>
      </c>
      <c r="D38" s="46" t="s">
        <v>206</v>
      </c>
    </row>
    <row r="39" spans="2:4" x14ac:dyDescent="0.25">
      <c r="C39" s="35" t="s">
        <v>207</v>
      </c>
      <c r="D39" s="46" t="s">
        <v>208</v>
      </c>
    </row>
    <row r="40" spans="2:4" x14ac:dyDescent="0.25">
      <c r="C40" s="35" t="s">
        <v>209</v>
      </c>
      <c r="D40" s="46" t="s">
        <v>209</v>
      </c>
    </row>
    <row r="41" spans="2:4" x14ac:dyDescent="0.25">
      <c r="B41" s="590" t="s">
        <v>210</v>
      </c>
      <c r="C41" s="587" t="s">
        <v>211</v>
      </c>
      <c r="D41" s="46" t="s">
        <v>212</v>
      </c>
    </row>
    <row r="42" spans="2:4" x14ac:dyDescent="0.25">
      <c r="B42" s="591"/>
      <c r="C42" s="589"/>
      <c r="D42" s="46" t="s">
        <v>213</v>
      </c>
    </row>
    <row r="43" spans="2:4" x14ac:dyDescent="0.25">
      <c r="B43" s="591"/>
      <c r="C43" s="587" t="s">
        <v>214</v>
      </c>
      <c r="D43" s="46" t="s">
        <v>215</v>
      </c>
    </row>
    <row r="44" spans="2:4" ht="30" x14ac:dyDescent="0.25">
      <c r="B44" s="591"/>
      <c r="C44" s="588"/>
      <c r="D44" s="46" t="s">
        <v>216</v>
      </c>
    </row>
    <row r="45" spans="2:4" x14ac:dyDescent="0.25">
      <c r="B45" s="591"/>
      <c r="C45" s="589"/>
      <c r="D45" s="46" t="s">
        <v>217</v>
      </c>
    </row>
    <row r="46" spans="2:4" x14ac:dyDescent="0.25">
      <c r="B46" s="591"/>
      <c r="C46" s="587" t="s">
        <v>218</v>
      </c>
      <c r="D46" s="46" t="s">
        <v>219</v>
      </c>
    </row>
    <row r="47" spans="2:4" x14ac:dyDescent="0.25">
      <c r="B47" s="591"/>
      <c r="C47" s="588"/>
      <c r="D47" s="46" t="s">
        <v>220</v>
      </c>
    </row>
    <row r="48" spans="2:4" x14ac:dyDescent="0.25">
      <c r="B48" s="591"/>
      <c r="C48" s="588"/>
      <c r="D48" s="46" t="s">
        <v>221</v>
      </c>
    </row>
    <row r="49" spans="2:4" x14ac:dyDescent="0.25">
      <c r="B49" s="591"/>
      <c r="C49" s="588"/>
      <c r="D49" s="46" t="s">
        <v>222</v>
      </c>
    </row>
    <row r="50" spans="2:4" x14ac:dyDescent="0.25">
      <c r="B50" s="591"/>
      <c r="C50" s="588"/>
      <c r="D50" s="46" t="s">
        <v>223</v>
      </c>
    </row>
    <row r="51" spans="2:4" x14ac:dyDescent="0.25">
      <c r="B51" s="591"/>
      <c r="C51" s="588"/>
      <c r="D51" s="46" t="s">
        <v>224</v>
      </c>
    </row>
    <row r="52" spans="2:4" ht="30" x14ac:dyDescent="0.25">
      <c r="B52" s="591"/>
      <c r="C52" s="589"/>
      <c r="D52" s="46" t="s">
        <v>225</v>
      </c>
    </row>
    <row r="53" spans="2:4" x14ac:dyDescent="0.25">
      <c r="B53" s="591"/>
      <c r="C53" s="587" t="s">
        <v>226</v>
      </c>
      <c r="D53" s="46" t="s">
        <v>227</v>
      </c>
    </row>
    <row r="54" spans="2:4" ht="30" x14ac:dyDescent="0.25">
      <c r="B54" s="591"/>
      <c r="C54" s="588"/>
      <c r="D54" s="46" t="s">
        <v>228</v>
      </c>
    </row>
    <row r="55" spans="2:4" x14ac:dyDescent="0.25">
      <c r="B55" s="591"/>
      <c r="C55" s="588"/>
      <c r="D55" s="46" t="s">
        <v>229</v>
      </c>
    </row>
    <row r="56" spans="2:4" ht="30" x14ac:dyDescent="0.25">
      <c r="B56" s="591"/>
      <c r="C56" s="589"/>
      <c r="D56" s="46" t="s">
        <v>230</v>
      </c>
    </row>
    <row r="57" spans="2:4" x14ac:dyDescent="0.25">
      <c r="B57" s="591"/>
      <c r="C57" s="587" t="s">
        <v>231</v>
      </c>
      <c r="D57" s="46" t="s">
        <v>232</v>
      </c>
    </row>
    <row r="58" spans="2:4" x14ac:dyDescent="0.25">
      <c r="B58" s="591"/>
      <c r="C58" s="589"/>
      <c r="D58" s="46" t="s">
        <v>233</v>
      </c>
    </row>
    <row r="59" spans="2:4" x14ac:dyDescent="0.25">
      <c r="B59" s="591"/>
      <c r="C59" s="587" t="s">
        <v>234</v>
      </c>
      <c r="D59" s="46" t="s">
        <v>235</v>
      </c>
    </row>
    <row r="60" spans="2:4" x14ac:dyDescent="0.25">
      <c r="B60" s="591"/>
      <c r="C60" s="588"/>
      <c r="D60" s="46" t="s">
        <v>236</v>
      </c>
    </row>
    <row r="61" spans="2:4" x14ac:dyDescent="0.25">
      <c r="B61" s="591"/>
      <c r="C61" s="588"/>
      <c r="D61" s="46" t="s">
        <v>237</v>
      </c>
    </row>
    <row r="62" spans="2:4" x14ac:dyDescent="0.25">
      <c r="B62" s="591"/>
      <c r="C62" s="588"/>
      <c r="D62" s="46" t="s">
        <v>238</v>
      </c>
    </row>
    <row r="63" spans="2:4" x14ac:dyDescent="0.25">
      <c r="B63" s="591"/>
      <c r="C63" s="588"/>
      <c r="D63" s="46" t="s">
        <v>239</v>
      </c>
    </row>
    <row r="64" spans="2:4" x14ac:dyDescent="0.25">
      <c r="B64" s="591"/>
      <c r="C64" s="588"/>
      <c r="D64" s="46" t="s">
        <v>240</v>
      </c>
    </row>
    <row r="65" spans="2:4" x14ac:dyDescent="0.25">
      <c r="B65" s="591"/>
      <c r="C65" s="589"/>
      <c r="D65" s="46" t="s">
        <v>241</v>
      </c>
    </row>
    <row r="66" spans="2:4" x14ac:dyDescent="0.25">
      <c r="B66" s="591"/>
      <c r="C66" s="587" t="s">
        <v>242</v>
      </c>
      <c r="D66" s="46" t="s">
        <v>243</v>
      </c>
    </row>
    <row r="67" spans="2:4" x14ac:dyDescent="0.25">
      <c r="B67" s="591"/>
      <c r="C67" s="588"/>
      <c r="D67" s="46" t="s">
        <v>244</v>
      </c>
    </row>
    <row r="68" spans="2:4" x14ac:dyDescent="0.25">
      <c r="B68" s="591"/>
      <c r="C68" s="588"/>
      <c r="D68" s="46" t="s">
        <v>245</v>
      </c>
    </row>
    <row r="69" spans="2:4" x14ac:dyDescent="0.25">
      <c r="B69" s="591"/>
      <c r="C69" s="588"/>
      <c r="D69" s="46" t="s">
        <v>246</v>
      </c>
    </row>
    <row r="70" spans="2:4" x14ac:dyDescent="0.25">
      <c r="B70" s="591"/>
      <c r="C70" s="588"/>
      <c r="D70" s="46" t="s">
        <v>247</v>
      </c>
    </row>
    <row r="71" spans="2:4" x14ac:dyDescent="0.25">
      <c r="B71" s="591"/>
      <c r="C71" s="588"/>
      <c r="D71" s="46" t="s">
        <v>248</v>
      </c>
    </row>
    <row r="72" spans="2:4" x14ac:dyDescent="0.25">
      <c r="B72" s="591"/>
      <c r="C72" s="588"/>
      <c r="D72" s="46" t="s">
        <v>249</v>
      </c>
    </row>
    <row r="73" spans="2:4" x14ac:dyDescent="0.25">
      <c r="B73" s="591"/>
      <c r="C73" s="588"/>
      <c r="D73" s="46" t="s">
        <v>250</v>
      </c>
    </row>
    <row r="74" spans="2:4" x14ac:dyDescent="0.25">
      <c r="B74" s="591"/>
      <c r="C74" s="588"/>
      <c r="D74" s="46" t="s">
        <v>251</v>
      </c>
    </row>
    <row r="75" spans="2:4" x14ac:dyDescent="0.25">
      <c r="B75" s="591"/>
      <c r="C75" s="588"/>
      <c r="D75" s="46" t="s">
        <v>252</v>
      </c>
    </row>
    <row r="76" spans="2:4" x14ac:dyDescent="0.25">
      <c r="B76" s="591"/>
      <c r="C76" s="588"/>
      <c r="D76" s="46" t="s">
        <v>253</v>
      </c>
    </row>
    <row r="77" spans="2:4" x14ac:dyDescent="0.25">
      <c r="B77" s="591"/>
      <c r="C77" s="588"/>
      <c r="D77" s="46" t="s">
        <v>254</v>
      </c>
    </row>
    <row r="78" spans="2:4" x14ac:dyDescent="0.25">
      <c r="B78" s="591"/>
      <c r="C78" s="588"/>
      <c r="D78" s="46" t="s">
        <v>255</v>
      </c>
    </row>
    <row r="79" spans="2:4" x14ac:dyDescent="0.25">
      <c r="B79" s="591"/>
      <c r="C79" s="589"/>
      <c r="D79" s="46" t="s">
        <v>256</v>
      </c>
    </row>
    <row r="80" spans="2:4" x14ac:dyDescent="0.25">
      <c r="B80" s="591"/>
      <c r="C80" s="587" t="s">
        <v>257</v>
      </c>
      <c r="D80" s="46" t="s">
        <v>258</v>
      </c>
    </row>
    <row r="81" spans="2:4" x14ac:dyDescent="0.25">
      <c r="B81" s="591"/>
      <c r="C81" s="588"/>
      <c r="D81" s="46" t="s">
        <v>259</v>
      </c>
    </row>
    <row r="82" spans="2:4" x14ac:dyDescent="0.25">
      <c r="B82" s="591"/>
      <c r="C82" s="589"/>
      <c r="D82" s="46" t="s">
        <v>260</v>
      </c>
    </row>
  </sheetData>
  <sheetProtection algorithmName="SHA-512" hashValue="PmCowoT4cApvwVRxeuR95IxkcpSFppkTXzEoiZuQI4T0uzc9iwBKT6LW1a/JZR+55BlAjMvBkp1JQkqvMc8Shg==" saltValue="wZe1ACNLY9UIGj5zMK48iQ==" spinCount="100000" sheet="1" objects="1" scenarios="1" selectLockedCells="1"/>
  <mergeCells count="13">
    <mergeCell ref="C59:C65"/>
    <mergeCell ref="C66:C79"/>
    <mergeCell ref="C80:C82"/>
    <mergeCell ref="B3:B7"/>
    <mergeCell ref="B8:B22"/>
    <mergeCell ref="B23:B33"/>
    <mergeCell ref="B34:B37"/>
    <mergeCell ref="B41:B82"/>
    <mergeCell ref="C41:C42"/>
    <mergeCell ref="C43:C45"/>
    <mergeCell ref="C46:C52"/>
    <mergeCell ref="C53:C56"/>
    <mergeCell ref="C57:C58"/>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theme="1"/>
  </sheetPr>
  <dimension ref="B2:F27"/>
  <sheetViews>
    <sheetView workbookViewId="0">
      <selection activeCell="B6" sqref="B6"/>
    </sheetView>
  </sheetViews>
  <sheetFormatPr defaultColWidth="9.140625" defaultRowHeight="15" x14ac:dyDescent="0.25"/>
  <cols>
    <col min="1" max="1" width="3.140625" style="2" customWidth="1"/>
    <col min="2" max="3" width="23.42578125" style="2" bestFit="1" customWidth="1"/>
    <col min="4" max="4" width="39.7109375" style="2" bestFit="1" customWidth="1"/>
    <col min="5" max="5" width="36.85546875" style="2" bestFit="1" customWidth="1"/>
    <col min="6" max="6" width="18.28515625" style="2" bestFit="1" customWidth="1"/>
    <col min="7" max="16384" width="9.140625" style="2"/>
  </cols>
  <sheetData>
    <row r="2" spans="2:6" s="22" customFormat="1" x14ac:dyDescent="0.25">
      <c r="B2" s="233" t="s">
        <v>339</v>
      </c>
      <c r="C2" s="234"/>
      <c r="D2" s="233" t="s">
        <v>389</v>
      </c>
      <c r="E2" s="233" t="s">
        <v>390</v>
      </c>
      <c r="F2" s="233" t="s">
        <v>391</v>
      </c>
    </row>
    <row r="3" spans="2:6" x14ac:dyDescent="0.25">
      <c r="B3" s="48" t="s">
        <v>389</v>
      </c>
      <c r="C3" s="3"/>
      <c r="D3" s="48" t="s">
        <v>392</v>
      </c>
      <c r="E3" s="416" t="s">
        <v>406</v>
      </c>
      <c r="F3" s="416" t="s">
        <v>369</v>
      </c>
    </row>
    <row r="4" spans="2:6" x14ac:dyDescent="0.25">
      <c r="B4" s="49" t="s">
        <v>390</v>
      </c>
      <c r="C4" s="3"/>
      <c r="D4" s="49" t="s">
        <v>393</v>
      </c>
      <c r="E4" s="417" t="s">
        <v>407</v>
      </c>
      <c r="F4" s="417" t="s">
        <v>370</v>
      </c>
    </row>
    <row r="5" spans="2:6" x14ac:dyDescent="0.25">
      <c r="B5" s="50" t="s">
        <v>391</v>
      </c>
      <c r="C5" s="3"/>
      <c r="D5" s="49" t="s">
        <v>394</v>
      </c>
      <c r="E5" s="417" t="s">
        <v>408</v>
      </c>
      <c r="F5" s="417" t="s">
        <v>575</v>
      </c>
    </row>
    <row r="6" spans="2:6" x14ac:dyDescent="0.25">
      <c r="D6" s="49" t="s">
        <v>395</v>
      </c>
      <c r="E6" s="417" t="s">
        <v>409</v>
      </c>
      <c r="F6" s="418" t="s">
        <v>206</v>
      </c>
    </row>
    <row r="7" spans="2:6" x14ac:dyDescent="0.25">
      <c r="D7" s="49" t="s">
        <v>396</v>
      </c>
      <c r="E7" s="417" t="s">
        <v>410</v>
      </c>
    </row>
    <row r="8" spans="2:6" x14ac:dyDescent="0.25">
      <c r="B8" s="47"/>
      <c r="D8" s="49" t="s">
        <v>397</v>
      </c>
      <c r="E8" s="417" t="s">
        <v>411</v>
      </c>
    </row>
    <row r="9" spans="2:6" x14ac:dyDescent="0.25">
      <c r="B9" s="3"/>
      <c r="D9" s="49" t="s">
        <v>398</v>
      </c>
      <c r="E9" s="417" t="s">
        <v>572</v>
      </c>
    </row>
    <row r="10" spans="2:6" x14ac:dyDescent="0.25">
      <c r="B10" s="3"/>
      <c r="D10" s="49" t="s">
        <v>399</v>
      </c>
      <c r="E10" s="417" t="s">
        <v>246</v>
      </c>
    </row>
    <row r="11" spans="2:6" x14ac:dyDescent="0.25">
      <c r="B11" s="3"/>
      <c r="D11" s="49" t="s">
        <v>400</v>
      </c>
      <c r="E11" s="417" t="s">
        <v>573</v>
      </c>
    </row>
    <row r="12" spans="2:6" x14ac:dyDescent="0.25">
      <c r="B12" s="3"/>
      <c r="D12" s="49" t="s">
        <v>401</v>
      </c>
      <c r="E12" s="417" t="s">
        <v>412</v>
      </c>
    </row>
    <row r="13" spans="2:6" x14ac:dyDescent="0.25">
      <c r="B13" s="3"/>
      <c r="D13" s="49" t="s">
        <v>229</v>
      </c>
      <c r="E13" s="417" t="s">
        <v>413</v>
      </c>
    </row>
    <row r="14" spans="2:6" x14ac:dyDescent="0.25">
      <c r="B14" s="3"/>
      <c r="D14" s="49" t="s">
        <v>402</v>
      </c>
      <c r="E14" s="417" t="s">
        <v>244</v>
      </c>
    </row>
    <row r="15" spans="2:6" x14ac:dyDescent="0.25">
      <c r="B15" s="3"/>
      <c r="D15" s="49" t="s">
        <v>403</v>
      </c>
      <c r="E15" s="417" t="s">
        <v>247</v>
      </c>
    </row>
    <row r="16" spans="2:6" x14ac:dyDescent="0.25">
      <c r="B16" s="3"/>
      <c r="D16" s="49" t="s">
        <v>404</v>
      </c>
      <c r="E16" s="417" t="s">
        <v>414</v>
      </c>
    </row>
    <row r="17" spans="2:5" x14ac:dyDescent="0.25">
      <c r="B17" s="3"/>
      <c r="D17" s="49" t="s">
        <v>405</v>
      </c>
      <c r="E17" s="418" t="s">
        <v>371</v>
      </c>
    </row>
    <row r="18" spans="2:5" x14ac:dyDescent="0.25">
      <c r="B18" s="3"/>
      <c r="D18" s="50" t="s">
        <v>574</v>
      </c>
    </row>
    <row r="19" spans="2:5" x14ac:dyDescent="0.25">
      <c r="B19" s="3"/>
    </row>
    <row r="20" spans="2:5" x14ac:dyDescent="0.25">
      <c r="B20" s="3"/>
    </row>
    <row r="21" spans="2:5" x14ac:dyDescent="0.25">
      <c r="B21" s="3"/>
    </row>
    <row r="22" spans="2:5" x14ac:dyDescent="0.25">
      <c r="B22" s="3"/>
    </row>
    <row r="23" spans="2:5" x14ac:dyDescent="0.25">
      <c r="B23" s="47"/>
    </row>
    <row r="24" spans="2:5" x14ac:dyDescent="0.25">
      <c r="B24" s="3"/>
    </row>
    <row r="25" spans="2:5" x14ac:dyDescent="0.25">
      <c r="B25" s="3"/>
    </row>
    <row r="26" spans="2:5" x14ac:dyDescent="0.25">
      <c r="B26" s="3"/>
    </row>
    <row r="27" spans="2:5" x14ac:dyDescent="0.25">
      <c r="B27" s="3"/>
    </row>
  </sheetData>
  <sheetProtection algorithmName="SHA-512" hashValue="lgAsnoMTf/UZsVOZ3tNMVlVVhwHn4luXRVNxDqlvuPqckpM3hb4Ufpih8ITDQ9B8lx5FEt5gY0zc4LIzODTUKQ==" saltValue="AVPHz7g2iDjnK6aYXLKnZQ==" spinCount="100000" sheet="1" select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9" tint="0.59999389629810485"/>
    <pageSetUpPr fitToPage="1"/>
  </sheetPr>
  <dimension ref="B1:L48"/>
  <sheetViews>
    <sheetView zoomScale="85" zoomScaleNormal="85" workbookViewId="0">
      <selection activeCell="K24" sqref="K24"/>
    </sheetView>
  </sheetViews>
  <sheetFormatPr defaultColWidth="9.140625" defaultRowHeight="15" x14ac:dyDescent="0.25"/>
  <cols>
    <col min="1" max="1" width="9.140625" style="2"/>
    <col min="2" max="2" width="6.42578125" style="2" customWidth="1"/>
    <col min="3" max="3" width="55.140625" style="2" customWidth="1"/>
    <col min="4" max="4" width="33" style="2" customWidth="1"/>
    <col min="5" max="5" width="14.85546875" style="2" customWidth="1"/>
    <col min="6" max="6" width="27.7109375" style="2" customWidth="1"/>
    <col min="7" max="7" width="14.5703125" style="2" customWidth="1"/>
    <col min="8" max="8" width="26.28515625" style="2" customWidth="1"/>
    <col min="9" max="9" width="20.85546875" style="2" customWidth="1"/>
    <col min="10" max="10" width="10.42578125" style="2" customWidth="1"/>
    <col min="11" max="11" width="23.5703125" style="2" customWidth="1"/>
    <col min="12" max="12" width="27.140625" style="2" customWidth="1"/>
    <col min="13" max="16384" width="9.140625" style="2"/>
  </cols>
  <sheetData>
    <row r="1" spans="2:12" x14ac:dyDescent="0.25">
      <c r="B1" s="11" t="str">
        <f>'Informations générales 1'!B7</f>
        <v>DECOMPTE ANNUEL</v>
      </c>
    </row>
    <row r="2" spans="2:12" x14ac:dyDescent="0.25">
      <c r="B2" s="11" t="str">
        <f>'Informations générales 1'!C20&amp;" - "&amp;'Informations générales 1'!C24</f>
        <v>Nom Gestionnaire - Nom SEA</v>
      </c>
    </row>
    <row r="3" spans="2:12" x14ac:dyDescent="0.25">
      <c r="B3" s="20">
        <f>'Informations générales 1'!C10</f>
        <v>2020</v>
      </c>
    </row>
    <row r="5" spans="2:12" x14ac:dyDescent="0.25">
      <c r="B5" s="11" t="s">
        <v>20</v>
      </c>
    </row>
    <row r="6" spans="2:12" x14ac:dyDescent="0.25">
      <c r="G6" s="122" t="s">
        <v>337</v>
      </c>
      <c r="H6" s="123">
        <f>InformationSEA[[#Totals],[Capacité maximale
(Agrément)]]</f>
        <v>0</v>
      </c>
      <c r="I6" s="123">
        <f>InformationSEA[[#Totals],[HPE budgétées 2020]]</f>
        <v>0</v>
      </c>
      <c r="J6" s="123"/>
      <c r="K6" s="123"/>
      <c r="L6" s="124">
        <f>InformationSEA[[#Totals],[Heures inclusion accordées]]</f>
        <v>0</v>
      </c>
    </row>
    <row r="7" spans="2:12" s="5" customFormat="1" ht="62.25" customHeight="1" x14ac:dyDescent="0.25">
      <c r="B7" s="6" t="s">
        <v>21</v>
      </c>
      <c r="C7" s="6" t="s">
        <v>22</v>
      </c>
      <c r="D7" s="6" t="s">
        <v>23</v>
      </c>
      <c r="E7" s="6" t="s">
        <v>24</v>
      </c>
      <c r="F7" s="6" t="s">
        <v>25</v>
      </c>
      <c r="G7" s="6" t="s">
        <v>26</v>
      </c>
      <c r="H7" s="6" t="s">
        <v>27</v>
      </c>
      <c r="I7" s="6" t="s">
        <v>635</v>
      </c>
      <c r="J7" s="6" t="s">
        <v>28</v>
      </c>
      <c r="K7" s="6" t="s">
        <v>29</v>
      </c>
      <c r="L7" s="6" t="s">
        <v>30</v>
      </c>
    </row>
    <row r="8" spans="2:12" x14ac:dyDescent="0.25">
      <c r="B8" s="7">
        <v>1</v>
      </c>
      <c r="C8" s="8"/>
      <c r="D8" s="8"/>
      <c r="E8" s="18"/>
      <c r="F8" s="8"/>
      <c r="G8" s="19"/>
      <c r="H8" s="8"/>
      <c r="I8" s="9"/>
      <c r="J8" s="8"/>
      <c r="K8" s="10"/>
      <c r="L8" s="190" t="str">
        <f>IF(InformationSEA[[#This Row],[Date d''accord inclusion]]="","",IF(InformationSEA[[#This Row],[Inclusion
(Oui/Non)]]="OUI",IF(InformationSEA[[#This Row],[HPE budgétées 2020]]*0.015&lt;1040,1040*((WEEKNUM(DATE('Informations générales 1'!$C$10,12,31),17)-WEEKNUM(InformationSEA[[#This Row],[Date d''accord inclusion]],17))/52),InformationSEA[[#This Row],[HPE budgétées 2020]]*0.015*((WEEKNUM(DATE('Informations générales 1'!$C$10,12,31),17)-WEEKNUM(InformationSEA[[#This Row],[Date d''accord inclusion]],17))/52)),""))</f>
        <v/>
      </c>
    </row>
    <row r="9" spans="2:12" x14ac:dyDescent="0.25">
      <c r="B9" s="7">
        <v>2</v>
      </c>
      <c r="C9" s="8"/>
      <c r="D9" s="8"/>
      <c r="E9" s="18"/>
      <c r="F9" s="8"/>
      <c r="G9" s="19"/>
      <c r="H9" s="8"/>
      <c r="I9" s="9"/>
      <c r="J9" s="8"/>
      <c r="K9" s="10"/>
      <c r="L9" s="190" t="str">
        <f>IF(InformationSEA[[#This Row],[Date d''accord inclusion]]="","",IF(InformationSEA[[#This Row],[Inclusion
(Oui/Non)]]="OUI",IF(InformationSEA[[#This Row],[HPE budgétées 2020]]*0.015&lt;1040,1040*((WEEKNUM(DATE('Informations générales 1'!$C$10,12,31),17)-WEEKNUM(InformationSEA[[#This Row],[Date d''accord inclusion]],17))/52),InformationSEA[[#This Row],[HPE budgétées 2020]]*0.015*((WEEKNUM(DATE('Informations générales 1'!$C$10,12,31),17)-WEEKNUM(InformationSEA[[#This Row],[Date d''accord inclusion]],17))/52)),""))</f>
        <v/>
      </c>
    </row>
    <row r="10" spans="2:12" x14ac:dyDescent="0.25">
      <c r="B10" s="7">
        <v>3</v>
      </c>
      <c r="C10" s="8"/>
      <c r="D10" s="8"/>
      <c r="E10" s="18"/>
      <c r="F10" s="8"/>
      <c r="G10" s="19"/>
      <c r="H10" s="8"/>
      <c r="I10" s="9"/>
      <c r="J10" s="8"/>
      <c r="K10" s="10"/>
      <c r="L10" s="190" t="str">
        <f>IF(InformationSEA[[#This Row],[Date d''accord inclusion]]="","",IF(InformationSEA[[#This Row],[Inclusion
(Oui/Non)]]="OUI",IF(InformationSEA[[#This Row],[HPE budgétées 2020]]*0.015&lt;1040,1040*((WEEKNUM(DATE('Informations générales 1'!$C$10,12,31),17)-WEEKNUM(InformationSEA[[#This Row],[Date d''accord inclusion]],17))/52),InformationSEA[[#This Row],[HPE budgétées 2020]]*0.015*((WEEKNUM(DATE('Informations générales 1'!$C$10,12,31),17)-WEEKNUM(InformationSEA[[#This Row],[Date d''accord inclusion]],17))/52)),""))</f>
        <v/>
      </c>
    </row>
    <row r="11" spans="2:12" x14ac:dyDescent="0.25">
      <c r="B11" s="7">
        <v>4</v>
      </c>
      <c r="C11" s="8"/>
      <c r="D11" s="8"/>
      <c r="E11" s="18"/>
      <c r="F11" s="8"/>
      <c r="G11" s="19"/>
      <c r="H11" s="8"/>
      <c r="I11" s="9"/>
      <c r="J11" s="8"/>
      <c r="K11" s="10"/>
      <c r="L11" s="190" t="str">
        <f>IF(InformationSEA[[#This Row],[Date d''accord inclusion]]="","",IF(InformationSEA[[#This Row],[Inclusion
(Oui/Non)]]="OUI",IF(InformationSEA[[#This Row],[HPE budgétées 2020]]*0.015&lt;1040,1040*((WEEKNUM(DATE('Informations générales 1'!$C$10,12,31),17)-WEEKNUM(InformationSEA[[#This Row],[Date d''accord inclusion]],17))/52),InformationSEA[[#This Row],[HPE budgétées 2020]]*0.015*((WEEKNUM(DATE('Informations générales 1'!$C$10,12,31),17)-WEEKNUM(InformationSEA[[#This Row],[Date d''accord inclusion]],17))/52)),""))</f>
        <v/>
      </c>
    </row>
    <row r="12" spans="2:12" x14ac:dyDescent="0.25">
      <c r="B12" s="7">
        <v>5</v>
      </c>
      <c r="C12" s="8"/>
      <c r="D12" s="8"/>
      <c r="E12" s="18"/>
      <c r="F12" s="8"/>
      <c r="G12" s="19"/>
      <c r="H12" s="8"/>
      <c r="I12" s="9"/>
      <c r="J12" s="8"/>
      <c r="K12" s="10"/>
      <c r="L12" s="190" t="str">
        <f>IF(InformationSEA[[#This Row],[Date d''accord inclusion]]="","",IF(InformationSEA[[#This Row],[Inclusion
(Oui/Non)]]="OUI",IF(InformationSEA[[#This Row],[HPE budgétées 2020]]*0.015&lt;1040,1040*((WEEKNUM(DATE('Informations générales 1'!$C$10,12,31),17)-WEEKNUM(InformationSEA[[#This Row],[Date d''accord inclusion]],17))/52),InformationSEA[[#This Row],[HPE budgétées 2020]]*0.015*((WEEKNUM(DATE('Informations générales 1'!$C$10,12,31),17)-WEEKNUM(InformationSEA[[#This Row],[Date d''accord inclusion]],17))/52)),""))</f>
        <v/>
      </c>
    </row>
    <row r="13" spans="2:12" x14ac:dyDescent="0.25">
      <c r="B13" s="7">
        <v>6</v>
      </c>
      <c r="C13" s="8"/>
      <c r="D13" s="8"/>
      <c r="E13" s="18"/>
      <c r="F13" s="8"/>
      <c r="G13" s="19"/>
      <c r="H13" s="8"/>
      <c r="I13" s="9"/>
      <c r="J13" s="8"/>
      <c r="K13" s="10"/>
      <c r="L13" s="190" t="str">
        <f>IF(InformationSEA[[#This Row],[Date d''accord inclusion]]="","",IF(InformationSEA[[#This Row],[Inclusion
(Oui/Non)]]="OUI",IF(InformationSEA[[#This Row],[HPE budgétées 2020]]*0.015&lt;1040,1040*((WEEKNUM(DATE('Informations générales 1'!$C$10,12,31),17)-WEEKNUM(InformationSEA[[#This Row],[Date d''accord inclusion]],17))/52),InformationSEA[[#This Row],[HPE budgétées 2020]]*0.015*((WEEKNUM(DATE('Informations générales 1'!$C$10,12,31),17)-WEEKNUM(InformationSEA[[#This Row],[Date d''accord inclusion]],17))/52)),""))</f>
        <v/>
      </c>
    </row>
    <row r="14" spans="2:12" x14ac:dyDescent="0.25">
      <c r="B14" s="7">
        <v>7</v>
      </c>
      <c r="C14" s="8"/>
      <c r="D14" s="8"/>
      <c r="E14" s="18"/>
      <c r="F14" s="8"/>
      <c r="G14" s="19"/>
      <c r="H14" s="8"/>
      <c r="I14" s="9"/>
      <c r="J14" s="8"/>
      <c r="K14" s="10"/>
      <c r="L14" s="190" t="str">
        <f>IF(InformationSEA[[#This Row],[Date d''accord inclusion]]="","",IF(InformationSEA[[#This Row],[Inclusion
(Oui/Non)]]="OUI",IF(InformationSEA[[#This Row],[HPE budgétées 2020]]*0.015&lt;1040,1040*((WEEKNUM(DATE('Informations générales 1'!$C$10,12,31),17)-WEEKNUM(InformationSEA[[#This Row],[Date d''accord inclusion]],17))/52),InformationSEA[[#This Row],[HPE budgétées 2020]]*0.015*((WEEKNUM(DATE('Informations générales 1'!$C$10,12,31),17)-WEEKNUM(InformationSEA[[#This Row],[Date d''accord inclusion]],17))/52)),""))</f>
        <v/>
      </c>
    </row>
    <row r="15" spans="2:12" x14ac:dyDescent="0.25">
      <c r="B15" s="7">
        <v>8</v>
      </c>
      <c r="C15" s="8"/>
      <c r="D15" s="8"/>
      <c r="E15" s="18"/>
      <c r="F15" s="8"/>
      <c r="G15" s="19"/>
      <c r="H15" s="8"/>
      <c r="I15" s="9"/>
      <c r="J15" s="8"/>
      <c r="K15" s="10"/>
      <c r="L15" s="190" t="str">
        <f>IF(InformationSEA[[#This Row],[Date d''accord inclusion]]="","",IF(InformationSEA[[#This Row],[Inclusion
(Oui/Non)]]="OUI",IF(InformationSEA[[#This Row],[HPE budgétées 2020]]*0.015&lt;1040,1040*((WEEKNUM(DATE('Informations générales 1'!$C$10,12,31),17)-WEEKNUM(InformationSEA[[#This Row],[Date d''accord inclusion]],17))/52),InformationSEA[[#This Row],[HPE budgétées 2020]]*0.015*((WEEKNUM(DATE('Informations générales 1'!$C$10,12,31),17)-WEEKNUM(InformationSEA[[#This Row],[Date d''accord inclusion]],17))/52)),""))</f>
        <v/>
      </c>
    </row>
    <row r="16" spans="2:12" x14ac:dyDescent="0.25">
      <c r="B16" s="7">
        <v>9</v>
      </c>
      <c r="C16" s="8"/>
      <c r="D16" s="8"/>
      <c r="E16" s="18"/>
      <c r="F16" s="8"/>
      <c r="G16" s="19"/>
      <c r="H16" s="8"/>
      <c r="I16" s="9"/>
      <c r="J16" s="8"/>
      <c r="K16" s="10"/>
      <c r="L16" s="190" t="str">
        <f>IF(InformationSEA[[#This Row],[Date d''accord inclusion]]="","",IF(InformationSEA[[#This Row],[Inclusion
(Oui/Non)]]="OUI",IF(InformationSEA[[#This Row],[HPE budgétées 2020]]*0.015&lt;1040,1040*((WEEKNUM(DATE('Informations générales 1'!$C$10,12,31),17)-WEEKNUM(InformationSEA[[#This Row],[Date d''accord inclusion]],17))/52),InformationSEA[[#This Row],[HPE budgétées 2020]]*0.015*((WEEKNUM(DATE('Informations générales 1'!$C$10,12,31),17)-WEEKNUM(InformationSEA[[#This Row],[Date d''accord inclusion]],17))/52)),""))</f>
        <v/>
      </c>
    </row>
    <row r="17" spans="2:12" x14ac:dyDescent="0.25">
      <c r="B17" s="7">
        <v>10</v>
      </c>
      <c r="C17" s="8"/>
      <c r="D17" s="8"/>
      <c r="E17" s="18"/>
      <c r="F17" s="8"/>
      <c r="G17" s="19"/>
      <c r="H17" s="8"/>
      <c r="I17" s="9"/>
      <c r="J17" s="8"/>
      <c r="K17" s="10"/>
      <c r="L17" s="190" t="str">
        <f>IF(InformationSEA[[#This Row],[Date d''accord inclusion]]="","",IF(InformationSEA[[#This Row],[Inclusion
(Oui/Non)]]="OUI",IF(InformationSEA[[#This Row],[HPE budgétées 2020]]*0.015&lt;1040,1040*((WEEKNUM(DATE('Informations générales 1'!$C$10,12,31),17)-WEEKNUM(InformationSEA[[#This Row],[Date d''accord inclusion]],17))/52),InformationSEA[[#This Row],[HPE budgétées 2020]]*0.015*((WEEKNUM(DATE('Informations générales 1'!$C$10,12,31),17)-WEEKNUM(InformationSEA[[#This Row],[Date d''accord inclusion]],17))/52)),""))</f>
        <v/>
      </c>
    </row>
    <row r="18" spans="2:12" x14ac:dyDescent="0.25">
      <c r="B18" s="7">
        <v>11</v>
      </c>
      <c r="C18" s="8"/>
      <c r="D18" s="8"/>
      <c r="E18" s="18"/>
      <c r="F18" s="8"/>
      <c r="G18" s="19"/>
      <c r="H18" s="8"/>
      <c r="I18" s="9"/>
      <c r="J18" s="8"/>
      <c r="K18" s="10"/>
      <c r="L18" s="190" t="str">
        <f>IF(InformationSEA[[#This Row],[Date d''accord inclusion]]="","",IF(InformationSEA[[#This Row],[Inclusion
(Oui/Non)]]="OUI",IF(InformationSEA[[#This Row],[HPE budgétées 2020]]*0.015&lt;1040,1040*((WEEKNUM(DATE('Informations générales 1'!$C$10,12,31),17)-WEEKNUM(InformationSEA[[#This Row],[Date d''accord inclusion]],17))/52),InformationSEA[[#This Row],[HPE budgétées 2020]]*0.015*((WEEKNUM(DATE('Informations générales 1'!$C$10,12,31),17)-WEEKNUM(InformationSEA[[#This Row],[Date d''accord inclusion]],17))/52)),""))</f>
        <v/>
      </c>
    </row>
    <row r="19" spans="2:12" x14ac:dyDescent="0.25">
      <c r="B19" s="7">
        <v>12</v>
      </c>
      <c r="C19" s="8"/>
      <c r="D19" s="8"/>
      <c r="E19" s="18"/>
      <c r="F19" s="8"/>
      <c r="G19" s="19"/>
      <c r="H19" s="8"/>
      <c r="I19" s="9"/>
      <c r="J19" s="8"/>
      <c r="K19" s="10"/>
      <c r="L19" s="190" t="str">
        <f>IF(InformationSEA[[#This Row],[Date d''accord inclusion]]="","",IF(InformationSEA[[#This Row],[Inclusion
(Oui/Non)]]="OUI",IF(InformationSEA[[#This Row],[HPE budgétées 2020]]*0.015&lt;1040,1040*((WEEKNUM(DATE('Informations générales 1'!$C$10,12,31),17)-WEEKNUM(InformationSEA[[#This Row],[Date d''accord inclusion]],17))/52),InformationSEA[[#This Row],[HPE budgétées 2020]]*0.015*((WEEKNUM(DATE('Informations générales 1'!$C$10,12,31),17)-WEEKNUM(InformationSEA[[#This Row],[Date d''accord inclusion]],17))/52)),""))</f>
        <v/>
      </c>
    </row>
    <row r="20" spans="2:12" x14ac:dyDescent="0.25">
      <c r="B20" s="7">
        <v>13</v>
      </c>
      <c r="C20" s="8"/>
      <c r="D20" s="8"/>
      <c r="E20" s="18"/>
      <c r="F20" s="8"/>
      <c r="G20" s="19"/>
      <c r="H20" s="8"/>
      <c r="I20" s="9"/>
      <c r="J20" s="8"/>
      <c r="K20" s="10"/>
      <c r="L20" s="190" t="str">
        <f>IF(InformationSEA[[#This Row],[Date d''accord inclusion]]="","",IF(InformationSEA[[#This Row],[Inclusion
(Oui/Non)]]="OUI",IF(InformationSEA[[#This Row],[HPE budgétées 2020]]*0.015&lt;1040,1040*((WEEKNUM(DATE('Informations générales 1'!$C$10,12,31),17)-WEEKNUM(InformationSEA[[#This Row],[Date d''accord inclusion]],17))/52),InformationSEA[[#This Row],[HPE budgétées 2020]]*0.015*((WEEKNUM(DATE('Informations générales 1'!$C$10,12,31),17)-WEEKNUM(InformationSEA[[#This Row],[Date d''accord inclusion]],17))/52)),""))</f>
        <v/>
      </c>
    </row>
    <row r="21" spans="2:12" x14ac:dyDescent="0.25">
      <c r="B21" s="7">
        <v>14</v>
      </c>
      <c r="C21" s="8"/>
      <c r="D21" s="8"/>
      <c r="E21" s="18"/>
      <c r="F21" s="8"/>
      <c r="G21" s="19"/>
      <c r="H21" s="8"/>
      <c r="I21" s="9"/>
      <c r="J21" s="8"/>
      <c r="K21" s="10"/>
      <c r="L21" s="190" t="str">
        <f>IF(InformationSEA[[#This Row],[Date d''accord inclusion]]="","",IF(InformationSEA[[#This Row],[Inclusion
(Oui/Non)]]="OUI",IF(InformationSEA[[#This Row],[HPE budgétées 2020]]*0.015&lt;1040,1040*((WEEKNUM(DATE('Informations générales 1'!$C$10,12,31),17)-WEEKNUM(InformationSEA[[#This Row],[Date d''accord inclusion]],17))/52),InformationSEA[[#This Row],[HPE budgétées 2020]]*0.015*((WEEKNUM(DATE('Informations générales 1'!$C$10,12,31),17)-WEEKNUM(InformationSEA[[#This Row],[Date d''accord inclusion]],17))/52)),""))</f>
        <v/>
      </c>
    </row>
    <row r="22" spans="2:12" x14ac:dyDescent="0.25">
      <c r="B22" s="7">
        <v>15</v>
      </c>
      <c r="C22" s="8"/>
      <c r="D22" s="8"/>
      <c r="E22" s="18"/>
      <c r="F22" s="8"/>
      <c r="G22" s="19"/>
      <c r="H22" s="8"/>
      <c r="I22" s="9"/>
      <c r="J22" s="8"/>
      <c r="K22" s="10"/>
      <c r="L22" s="190" t="str">
        <f>IF(InformationSEA[[#This Row],[Date d''accord inclusion]]="","",IF(InformationSEA[[#This Row],[Inclusion
(Oui/Non)]]="OUI",IF(InformationSEA[[#This Row],[HPE budgétées 2020]]*0.015&lt;1040,1040*((WEEKNUM(DATE('Informations générales 1'!$C$10,12,31),17)-WEEKNUM(InformationSEA[[#This Row],[Date d''accord inclusion]],17))/52),InformationSEA[[#This Row],[HPE budgétées 2020]]*0.015*((WEEKNUM(DATE('Informations générales 1'!$C$10,12,31),17)-WEEKNUM(InformationSEA[[#This Row],[Date d''accord inclusion]],17))/52)),""))</f>
        <v/>
      </c>
    </row>
    <row r="23" spans="2:12" x14ac:dyDescent="0.25">
      <c r="B23" s="7">
        <v>16</v>
      </c>
      <c r="C23" s="8"/>
      <c r="D23" s="8"/>
      <c r="E23" s="18"/>
      <c r="F23" s="8"/>
      <c r="G23" s="19"/>
      <c r="H23" s="8"/>
      <c r="I23" s="9"/>
      <c r="J23" s="8"/>
      <c r="K23" s="10"/>
      <c r="L23" s="190" t="str">
        <f>IF(InformationSEA[[#This Row],[Date d''accord inclusion]]="","",IF(InformationSEA[[#This Row],[Inclusion
(Oui/Non)]]="OUI",IF(InformationSEA[[#This Row],[HPE budgétées 2020]]*0.015&lt;1040,1040*((WEEKNUM(DATE('Informations générales 1'!$C$10,12,31),17)-WEEKNUM(InformationSEA[[#This Row],[Date d''accord inclusion]],17))/52),InformationSEA[[#This Row],[HPE budgétées 2020]]*0.015*((WEEKNUM(DATE('Informations générales 1'!$C$10,12,31),17)-WEEKNUM(InformationSEA[[#This Row],[Date d''accord inclusion]],17))/52)),""))</f>
        <v/>
      </c>
    </row>
    <row r="24" spans="2:12" x14ac:dyDescent="0.25">
      <c r="B24" s="7">
        <v>17</v>
      </c>
      <c r="C24" s="8"/>
      <c r="D24" s="8"/>
      <c r="E24" s="18"/>
      <c r="F24" s="8"/>
      <c r="G24" s="19"/>
      <c r="H24" s="8"/>
      <c r="I24" s="9"/>
      <c r="J24" s="8"/>
      <c r="K24" s="10"/>
      <c r="L24" s="190" t="str">
        <f>IF(InformationSEA[[#This Row],[Date d''accord inclusion]]="","",IF(InformationSEA[[#This Row],[Inclusion
(Oui/Non)]]="OUI",IF(InformationSEA[[#This Row],[HPE budgétées 2020]]*0.015&lt;1040,1040*((WEEKNUM(DATE('Informations générales 1'!$C$10,12,31),17)-WEEKNUM(InformationSEA[[#This Row],[Date d''accord inclusion]],17))/52),InformationSEA[[#This Row],[HPE budgétées 2020]]*0.015*((WEEKNUM(DATE('Informations générales 1'!$C$10,12,31),17)-WEEKNUM(InformationSEA[[#This Row],[Date d''accord inclusion]],17))/52)),""))</f>
        <v/>
      </c>
    </row>
    <row r="25" spans="2:12" x14ac:dyDescent="0.25">
      <c r="B25" s="7">
        <v>18</v>
      </c>
      <c r="C25" s="8"/>
      <c r="D25" s="8"/>
      <c r="E25" s="18"/>
      <c r="F25" s="8"/>
      <c r="G25" s="19"/>
      <c r="H25" s="8"/>
      <c r="I25" s="9"/>
      <c r="J25" s="8"/>
      <c r="K25" s="10"/>
      <c r="L25" s="190" t="str">
        <f>IF(InformationSEA[[#This Row],[Date d''accord inclusion]]="","",IF(InformationSEA[[#This Row],[Inclusion
(Oui/Non)]]="OUI",IF(InformationSEA[[#This Row],[HPE budgétées 2020]]*0.015&lt;1040,1040*((WEEKNUM(DATE('Informations générales 1'!$C$10,12,31),17)-WEEKNUM(InformationSEA[[#This Row],[Date d''accord inclusion]],17))/52),InformationSEA[[#This Row],[HPE budgétées 2020]]*0.015*((WEEKNUM(DATE('Informations générales 1'!$C$10,12,31),17)-WEEKNUM(InformationSEA[[#This Row],[Date d''accord inclusion]],17))/52)),""))</f>
        <v/>
      </c>
    </row>
    <row r="26" spans="2:12" x14ac:dyDescent="0.25">
      <c r="B26" s="7">
        <v>19</v>
      </c>
      <c r="C26" s="8"/>
      <c r="D26" s="8"/>
      <c r="E26" s="18"/>
      <c r="F26" s="8"/>
      <c r="G26" s="19"/>
      <c r="H26" s="8"/>
      <c r="I26" s="9"/>
      <c r="J26" s="8"/>
      <c r="K26" s="10"/>
      <c r="L26" s="190" t="str">
        <f>IF(InformationSEA[[#This Row],[Date d''accord inclusion]]="","",IF(InformationSEA[[#This Row],[Inclusion
(Oui/Non)]]="OUI",IF(InformationSEA[[#This Row],[HPE budgétées 2020]]*0.015&lt;1040,1040*((WEEKNUM(DATE('Informations générales 1'!$C$10,12,31),17)-WEEKNUM(InformationSEA[[#This Row],[Date d''accord inclusion]],17))/52),InformationSEA[[#This Row],[HPE budgétées 2020]]*0.015*((WEEKNUM(DATE('Informations générales 1'!$C$10,12,31),17)-WEEKNUM(InformationSEA[[#This Row],[Date d''accord inclusion]],17))/52)),""))</f>
        <v/>
      </c>
    </row>
    <row r="27" spans="2:12" x14ac:dyDescent="0.25">
      <c r="B27" s="7">
        <v>20</v>
      </c>
      <c r="C27" s="8"/>
      <c r="D27" s="8"/>
      <c r="E27" s="18"/>
      <c r="F27" s="8"/>
      <c r="G27" s="19"/>
      <c r="H27" s="8"/>
      <c r="I27" s="9"/>
      <c r="J27" s="8"/>
      <c r="K27" s="10"/>
      <c r="L27" s="190" t="str">
        <f>IF(InformationSEA[[#This Row],[Date d''accord inclusion]]="","",IF(InformationSEA[[#This Row],[Inclusion
(Oui/Non)]]="OUI",IF(InformationSEA[[#This Row],[HPE budgétées 2020]]*0.015&lt;1040,1040*((WEEKNUM(DATE('Informations générales 1'!$C$10,12,31),17)-WEEKNUM(InformationSEA[[#This Row],[Date d''accord inclusion]],17))/52),InformationSEA[[#This Row],[HPE budgétées 2020]]*0.015*((WEEKNUM(DATE('Informations générales 1'!$C$10,12,31),17)-WEEKNUM(InformationSEA[[#This Row],[Date d''accord inclusion]],17))/52)),""))</f>
        <v/>
      </c>
    </row>
    <row r="28" spans="2:12" x14ac:dyDescent="0.25">
      <c r="B28" s="7">
        <v>21</v>
      </c>
      <c r="C28" s="8"/>
      <c r="D28" s="8"/>
      <c r="E28" s="18"/>
      <c r="F28" s="8"/>
      <c r="G28" s="19"/>
      <c r="H28" s="8"/>
      <c r="I28" s="9"/>
      <c r="J28" s="8"/>
      <c r="K28" s="10"/>
      <c r="L28" s="190" t="str">
        <f>IF(InformationSEA[[#This Row],[Date d''accord inclusion]]="","",IF(InformationSEA[[#This Row],[Inclusion
(Oui/Non)]]="OUI",IF(InformationSEA[[#This Row],[HPE budgétées 2020]]*0.015&lt;1040,1040*((WEEKNUM(DATE('Informations générales 1'!$C$10,12,31),17)-WEEKNUM(InformationSEA[[#This Row],[Date d''accord inclusion]],17))/52),InformationSEA[[#This Row],[HPE budgétées 2020]]*0.015*((WEEKNUM(DATE('Informations générales 1'!$C$10,12,31),17)-WEEKNUM(InformationSEA[[#This Row],[Date d''accord inclusion]],17))/52)),""))</f>
        <v/>
      </c>
    </row>
    <row r="29" spans="2:12" x14ac:dyDescent="0.25">
      <c r="B29" s="7">
        <v>22</v>
      </c>
      <c r="C29" s="8"/>
      <c r="D29" s="8"/>
      <c r="E29" s="18"/>
      <c r="F29" s="8"/>
      <c r="G29" s="19"/>
      <c r="H29" s="8"/>
      <c r="I29" s="9"/>
      <c r="J29" s="8"/>
      <c r="K29" s="10"/>
      <c r="L29" s="190" t="str">
        <f>IF(InformationSEA[[#This Row],[Date d''accord inclusion]]="","",IF(InformationSEA[[#This Row],[Inclusion
(Oui/Non)]]="OUI",IF(InformationSEA[[#This Row],[HPE budgétées 2020]]*0.015&lt;1040,1040*((WEEKNUM(DATE('Informations générales 1'!$C$10,12,31),17)-WEEKNUM(InformationSEA[[#This Row],[Date d''accord inclusion]],17))/52),InformationSEA[[#This Row],[HPE budgétées 2020]]*0.015*((WEEKNUM(DATE('Informations générales 1'!$C$10,12,31),17)-WEEKNUM(InformationSEA[[#This Row],[Date d''accord inclusion]],17))/52)),""))</f>
        <v/>
      </c>
    </row>
    <row r="30" spans="2:12" x14ac:dyDescent="0.25">
      <c r="B30" s="7">
        <v>23</v>
      </c>
      <c r="C30" s="8"/>
      <c r="D30" s="8"/>
      <c r="E30" s="18"/>
      <c r="F30" s="8"/>
      <c r="G30" s="19"/>
      <c r="H30" s="8"/>
      <c r="I30" s="9"/>
      <c r="J30" s="8"/>
      <c r="K30" s="10"/>
      <c r="L30" s="190" t="str">
        <f>IF(InformationSEA[[#This Row],[Date d''accord inclusion]]="","",IF(InformationSEA[[#This Row],[Inclusion
(Oui/Non)]]="OUI",IF(InformationSEA[[#This Row],[HPE budgétées 2020]]*0.015&lt;1040,1040*((WEEKNUM(DATE('Informations générales 1'!$C$10,12,31),17)-WEEKNUM(InformationSEA[[#This Row],[Date d''accord inclusion]],17))/52),InformationSEA[[#This Row],[HPE budgétées 2020]]*0.015*((WEEKNUM(DATE('Informations générales 1'!$C$10,12,31),17)-WEEKNUM(InformationSEA[[#This Row],[Date d''accord inclusion]],17))/52)),""))</f>
        <v/>
      </c>
    </row>
    <row r="31" spans="2:12" x14ac:dyDescent="0.25">
      <c r="B31" s="7">
        <v>24</v>
      </c>
      <c r="C31" s="8"/>
      <c r="D31" s="8"/>
      <c r="E31" s="18"/>
      <c r="F31" s="8"/>
      <c r="G31" s="19"/>
      <c r="H31" s="8"/>
      <c r="I31" s="9"/>
      <c r="J31" s="8"/>
      <c r="K31" s="10"/>
      <c r="L31" s="190" t="str">
        <f>IF(InformationSEA[[#This Row],[Date d''accord inclusion]]="","",IF(InformationSEA[[#This Row],[Inclusion
(Oui/Non)]]="OUI",IF(InformationSEA[[#This Row],[HPE budgétées 2020]]*0.015&lt;1040,1040*((WEEKNUM(DATE('Informations générales 1'!$C$10,12,31),17)-WEEKNUM(InformationSEA[[#This Row],[Date d''accord inclusion]],17))/52),InformationSEA[[#This Row],[HPE budgétées 2020]]*0.015*((WEEKNUM(DATE('Informations générales 1'!$C$10,12,31),17)-WEEKNUM(InformationSEA[[#This Row],[Date d''accord inclusion]],17))/52)),""))</f>
        <v/>
      </c>
    </row>
    <row r="32" spans="2:12" x14ac:dyDescent="0.25">
      <c r="B32" s="7">
        <v>25</v>
      </c>
      <c r="C32" s="8"/>
      <c r="D32" s="8"/>
      <c r="E32" s="18"/>
      <c r="F32" s="8"/>
      <c r="G32" s="19"/>
      <c r="H32" s="8"/>
      <c r="I32" s="9"/>
      <c r="J32" s="8"/>
      <c r="K32" s="10"/>
      <c r="L32" s="190" t="str">
        <f>IF(InformationSEA[[#This Row],[Date d''accord inclusion]]="","",IF(InformationSEA[[#This Row],[Inclusion
(Oui/Non)]]="OUI",IF(InformationSEA[[#This Row],[HPE budgétées 2020]]*0.015&lt;1040,1040*((WEEKNUM(DATE('Informations générales 1'!$C$10,12,31),17)-WEEKNUM(InformationSEA[[#This Row],[Date d''accord inclusion]],17))/52),InformationSEA[[#This Row],[HPE budgétées 2020]]*0.015*((WEEKNUM(DATE('Informations générales 1'!$C$10,12,31),17)-WEEKNUM(InformationSEA[[#This Row],[Date d''accord inclusion]],17))/52)),""))</f>
        <v/>
      </c>
    </row>
    <row r="33" spans="2:12" x14ac:dyDescent="0.25">
      <c r="B33" s="7">
        <v>26</v>
      </c>
      <c r="C33" s="8"/>
      <c r="D33" s="8"/>
      <c r="E33" s="18"/>
      <c r="F33" s="8"/>
      <c r="G33" s="19"/>
      <c r="H33" s="8"/>
      <c r="I33" s="9"/>
      <c r="J33" s="8"/>
      <c r="K33" s="10"/>
      <c r="L33" s="190" t="str">
        <f>IF(InformationSEA[[#This Row],[Date d''accord inclusion]]="","",IF(InformationSEA[[#This Row],[Inclusion
(Oui/Non)]]="OUI",IF(InformationSEA[[#This Row],[HPE budgétées 2020]]*0.015&lt;1040,1040*((WEEKNUM(DATE('Informations générales 1'!$C$10,12,31),17)-WEEKNUM(InformationSEA[[#This Row],[Date d''accord inclusion]],17))/52),InformationSEA[[#This Row],[HPE budgétées 2020]]*0.015*((WEEKNUM(DATE('Informations générales 1'!$C$10,12,31),17)-WEEKNUM(InformationSEA[[#This Row],[Date d''accord inclusion]],17))/52)),""))</f>
        <v/>
      </c>
    </row>
    <row r="34" spans="2:12" x14ac:dyDescent="0.25">
      <c r="B34" s="7">
        <v>27</v>
      </c>
      <c r="C34" s="8"/>
      <c r="D34" s="8"/>
      <c r="E34" s="18"/>
      <c r="F34" s="8"/>
      <c r="G34" s="19"/>
      <c r="H34" s="8"/>
      <c r="I34" s="9"/>
      <c r="J34" s="8"/>
      <c r="K34" s="10"/>
      <c r="L34" s="190" t="str">
        <f>IF(InformationSEA[[#This Row],[Date d''accord inclusion]]="","",IF(InformationSEA[[#This Row],[Inclusion
(Oui/Non)]]="OUI",IF(InformationSEA[[#This Row],[HPE budgétées 2020]]*0.015&lt;1040,1040*((WEEKNUM(DATE('Informations générales 1'!$C$10,12,31),17)-WEEKNUM(InformationSEA[[#This Row],[Date d''accord inclusion]],17))/52),InformationSEA[[#This Row],[HPE budgétées 2020]]*0.015*((WEEKNUM(DATE('Informations générales 1'!$C$10,12,31),17)-WEEKNUM(InformationSEA[[#This Row],[Date d''accord inclusion]],17))/52)),""))</f>
        <v/>
      </c>
    </row>
    <row r="35" spans="2:12" x14ac:dyDescent="0.25">
      <c r="B35" s="7">
        <v>28</v>
      </c>
      <c r="C35" s="8"/>
      <c r="D35" s="8"/>
      <c r="E35" s="18"/>
      <c r="F35" s="8"/>
      <c r="G35" s="19"/>
      <c r="H35" s="8"/>
      <c r="I35" s="9"/>
      <c r="J35" s="8"/>
      <c r="K35" s="10"/>
      <c r="L35" s="190" t="str">
        <f>IF(InformationSEA[[#This Row],[Date d''accord inclusion]]="","",IF(InformationSEA[[#This Row],[Inclusion
(Oui/Non)]]="OUI",IF(InformationSEA[[#This Row],[HPE budgétées 2020]]*0.015&lt;1040,1040*((WEEKNUM(DATE('Informations générales 1'!$C$10,12,31),17)-WEEKNUM(InformationSEA[[#This Row],[Date d''accord inclusion]],17))/52),InformationSEA[[#This Row],[HPE budgétées 2020]]*0.015*((WEEKNUM(DATE('Informations générales 1'!$C$10,12,31),17)-WEEKNUM(InformationSEA[[#This Row],[Date d''accord inclusion]],17))/52)),""))</f>
        <v/>
      </c>
    </row>
    <row r="36" spans="2:12" x14ac:dyDescent="0.25">
      <c r="B36" s="7">
        <v>29</v>
      </c>
      <c r="C36" s="8"/>
      <c r="D36" s="8"/>
      <c r="E36" s="18"/>
      <c r="F36" s="8"/>
      <c r="G36" s="19"/>
      <c r="H36" s="8"/>
      <c r="I36" s="9"/>
      <c r="J36" s="8"/>
      <c r="K36" s="10"/>
      <c r="L36" s="190" t="str">
        <f>IF(InformationSEA[[#This Row],[Date d''accord inclusion]]="","",IF(InformationSEA[[#This Row],[Inclusion
(Oui/Non)]]="OUI",IF(InformationSEA[[#This Row],[HPE budgétées 2020]]*0.015&lt;1040,1040*((WEEKNUM(DATE('Informations générales 1'!$C$10,12,31),17)-WEEKNUM(InformationSEA[[#This Row],[Date d''accord inclusion]],17))/52),InformationSEA[[#This Row],[HPE budgétées 2020]]*0.015*((WEEKNUM(DATE('Informations générales 1'!$C$10,12,31),17)-WEEKNUM(InformationSEA[[#This Row],[Date d''accord inclusion]],17))/52)),""))</f>
        <v/>
      </c>
    </row>
    <row r="37" spans="2:12" x14ac:dyDescent="0.25">
      <c r="B37" s="7">
        <v>30</v>
      </c>
      <c r="C37" s="8"/>
      <c r="D37" s="8"/>
      <c r="E37" s="18"/>
      <c r="F37" s="8"/>
      <c r="G37" s="19"/>
      <c r="H37" s="8"/>
      <c r="I37" s="9"/>
      <c r="J37" s="8"/>
      <c r="K37" s="10"/>
      <c r="L37" s="190" t="str">
        <f>IF(InformationSEA[[#This Row],[Date d''accord inclusion]]="","",IF(InformationSEA[[#This Row],[Inclusion
(Oui/Non)]]="OUI",IF(InformationSEA[[#This Row],[HPE budgétées 2020]]*0.015&lt;1040,1040*((WEEKNUM(DATE('Informations générales 1'!$C$10,12,31),17)-WEEKNUM(InformationSEA[[#This Row],[Date d''accord inclusion]],17))/52),InformationSEA[[#This Row],[HPE budgétées 2020]]*0.015*((WEEKNUM(DATE('Informations générales 1'!$C$10,12,31),17)-WEEKNUM(InformationSEA[[#This Row],[Date d''accord inclusion]],17))/52)),""))</f>
        <v/>
      </c>
    </row>
    <row r="38" spans="2:12" x14ac:dyDescent="0.25">
      <c r="B38" s="7">
        <v>31</v>
      </c>
      <c r="C38" s="8"/>
      <c r="D38" s="8"/>
      <c r="E38" s="18"/>
      <c r="F38" s="8"/>
      <c r="G38" s="19"/>
      <c r="H38" s="8"/>
      <c r="I38" s="9"/>
      <c r="J38" s="8"/>
      <c r="K38" s="10"/>
      <c r="L38" s="190" t="str">
        <f>IF(InformationSEA[[#This Row],[Date d''accord inclusion]]="","",IF(InformationSEA[[#This Row],[Inclusion
(Oui/Non)]]="OUI",IF(InformationSEA[[#This Row],[HPE budgétées 2020]]*0.015&lt;1040,1040*((WEEKNUM(DATE('Informations générales 1'!$C$10,12,31),17)-WEEKNUM(InformationSEA[[#This Row],[Date d''accord inclusion]],17))/52),InformationSEA[[#This Row],[HPE budgétées 2020]]*0.015*((WEEKNUM(DATE('Informations générales 1'!$C$10,12,31),17)-WEEKNUM(InformationSEA[[#This Row],[Date d''accord inclusion]],17))/52)),""))</f>
        <v/>
      </c>
    </row>
    <row r="39" spans="2:12" x14ac:dyDescent="0.25">
      <c r="B39" s="7">
        <v>32</v>
      </c>
      <c r="C39" s="8"/>
      <c r="D39" s="8"/>
      <c r="E39" s="18"/>
      <c r="F39" s="8"/>
      <c r="G39" s="19"/>
      <c r="H39" s="8"/>
      <c r="I39" s="9"/>
      <c r="J39" s="8"/>
      <c r="K39" s="10"/>
      <c r="L39" s="190" t="str">
        <f>IF(InformationSEA[[#This Row],[Date d''accord inclusion]]="","",IF(InformationSEA[[#This Row],[Inclusion
(Oui/Non)]]="OUI",IF(InformationSEA[[#This Row],[HPE budgétées 2020]]*0.015&lt;1040,1040*((WEEKNUM(DATE('Informations générales 1'!$C$10,12,31),17)-WEEKNUM(InformationSEA[[#This Row],[Date d''accord inclusion]],17))/52),InformationSEA[[#This Row],[HPE budgétées 2020]]*0.015*((WEEKNUM(DATE('Informations générales 1'!$C$10,12,31),17)-WEEKNUM(InformationSEA[[#This Row],[Date d''accord inclusion]],17))/52)),""))</f>
        <v/>
      </c>
    </row>
    <row r="40" spans="2:12" x14ac:dyDescent="0.25">
      <c r="B40" s="7">
        <v>33</v>
      </c>
      <c r="C40" s="8"/>
      <c r="D40" s="8"/>
      <c r="E40" s="18"/>
      <c r="F40" s="8"/>
      <c r="G40" s="19"/>
      <c r="H40" s="8"/>
      <c r="I40" s="9"/>
      <c r="J40" s="8"/>
      <c r="K40" s="10"/>
      <c r="L40" s="190" t="str">
        <f>IF(InformationSEA[[#This Row],[Date d''accord inclusion]]="","",IF(InformationSEA[[#This Row],[Inclusion
(Oui/Non)]]="OUI",IF(InformationSEA[[#This Row],[HPE budgétées 2020]]*0.015&lt;1040,1040*((WEEKNUM(DATE('Informations générales 1'!$C$10,12,31),17)-WEEKNUM(InformationSEA[[#This Row],[Date d''accord inclusion]],17))/52),InformationSEA[[#This Row],[HPE budgétées 2020]]*0.015*((WEEKNUM(DATE('Informations générales 1'!$C$10,12,31),17)-WEEKNUM(InformationSEA[[#This Row],[Date d''accord inclusion]],17))/52)),""))</f>
        <v/>
      </c>
    </row>
    <row r="41" spans="2:12" x14ac:dyDescent="0.25">
      <c r="B41" s="7">
        <v>34</v>
      </c>
      <c r="C41" s="8"/>
      <c r="D41" s="8"/>
      <c r="E41" s="18"/>
      <c r="F41" s="8"/>
      <c r="G41" s="19"/>
      <c r="H41" s="8"/>
      <c r="I41" s="9"/>
      <c r="J41" s="8"/>
      <c r="K41" s="10"/>
      <c r="L41" s="190" t="str">
        <f>IF(InformationSEA[[#This Row],[Date d''accord inclusion]]="","",IF(InformationSEA[[#This Row],[Inclusion
(Oui/Non)]]="OUI",IF(InformationSEA[[#This Row],[HPE budgétées 2020]]*0.015&lt;1040,1040*((WEEKNUM(DATE('Informations générales 1'!$C$10,12,31),17)-WEEKNUM(InformationSEA[[#This Row],[Date d''accord inclusion]],17))/52),InformationSEA[[#This Row],[HPE budgétées 2020]]*0.015*((WEEKNUM(DATE('Informations générales 1'!$C$10,12,31),17)-WEEKNUM(InformationSEA[[#This Row],[Date d''accord inclusion]],17))/52)),""))</f>
        <v/>
      </c>
    </row>
    <row r="42" spans="2:12" x14ac:dyDescent="0.25">
      <c r="B42" s="7">
        <v>35</v>
      </c>
      <c r="C42" s="8"/>
      <c r="D42" s="8"/>
      <c r="E42" s="18"/>
      <c r="F42" s="8"/>
      <c r="G42" s="19"/>
      <c r="H42" s="8"/>
      <c r="I42" s="9"/>
      <c r="J42" s="8"/>
      <c r="K42" s="10"/>
      <c r="L42" s="190" t="str">
        <f>IF(InformationSEA[[#This Row],[Date d''accord inclusion]]="","",IF(InformationSEA[[#This Row],[Inclusion
(Oui/Non)]]="OUI",IF(InformationSEA[[#This Row],[HPE budgétées 2020]]*0.015&lt;1040,1040*((WEEKNUM(DATE('Informations générales 1'!$C$10,12,31),17)-WEEKNUM(InformationSEA[[#This Row],[Date d''accord inclusion]],17))/52),InformationSEA[[#This Row],[HPE budgétées 2020]]*0.015*((WEEKNUM(DATE('Informations générales 1'!$C$10,12,31),17)-WEEKNUM(InformationSEA[[#This Row],[Date d''accord inclusion]],17))/52)),""))</f>
        <v/>
      </c>
    </row>
    <row r="43" spans="2:12" x14ac:dyDescent="0.25">
      <c r="B43" s="7">
        <v>36</v>
      </c>
      <c r="C43" s="8"/>
      <c r="D43" s="8"/>
      <c r="E43" s="18"/>
      <c r="F43" s="8"/>
      <c r="G43" s="19"/>
      <c r="H43" s="8"/>
      <c r="I43" s="9"/>
      <c r="J43" s="8"/>
      <c r="K43" s="10"/>
      <c r="L43" s="190" t="str">
        <f>IF(InformationSEA[[#This Row],[Date d''accord inclusion]]="","",IF(InformationSEA[[#This Row],[Inclusion
(Oui/Non)]]="OUI",IF(InformationSEA[[#This Row],[HPE budgétées 2020]]*0.015&lt;1040,1040*((WEEKNUM(DATE('Informations générales 1'!$C$10,12,31),17)-WEEKNUM(InformationSEA[[#This Row],[Date d''accord inclusion]],17))/52),InformationSEA[[#This Row],[HPE budgétées 2020]]*0.015*((WEEKNUM(DATE('Informations générales 1'!$C$10,12,31),17)-WEEKNUM(InformationSEA[[#This Row],[Date d''accord inclusion]],17))/52)),""))</f>
        <v/>
      </c>
    </row>
    <row r="44" spans="2:12" x14ac:dyDescent="0.25">
      <c r="B44" s="7">
        <v>37</v>
      </c>
      <c r="C44" s="8"/>
      <c r="D44" s="8"/>
      <c r="E44" s="18"/>
      <c r="F44" s="8"/>
      <c r="G44" s="19"/>
      <c r="H44" s="8"/>
      <c r="I44" s="9"/>
      <c r="J44" s="8"/>
      <c r="K44" s="10"/>
      <c r="L44" s="190" t="str">
        <f>IF(InformationSEA[[#This Row],[Date d''accord inclusion]]="","",IF(InformationSEA[[#This Row],[Inclusion
(Oui/Non)]]="OUI",IF(InformationSEA[[#This Row],[HPE budgétées 2020]]*0.015&lt;1040,1040*((WEEKNUM(DATE('Informations générales 1'!$C$10,12,31),17)-WEEKNUM(InformationSEA[[#This Row],[Date d''accord inclusion]],17))/52),InformationSEA[[#This Row],[HPE budgétées 2020]]*0.015*((WEEKNUM(DATE('Informations générales 1'!$C$10,12,31),17)-WEEKNUM(InformationSEA[[#This Row],[Date d''accord inclusion]],17))/52)),""))</f>
        <v/>
      </c>
    </row>
    <row r="45" spans="2:12" x14ac:dyDescent="0.25">
      <c r="B45" s="7">
        <v>38</v>
      </c>
      <c r="C45" s="8"/>
      <c r="D45" s="8"/>
      <c r="E45" s="18"/>
      <c r="F45" s="8"/>
      <c r="G45" s="19"/>
      <c r="H45" s="8"/>
      <c r="I45" s="9"/>
      <c r="J45" s="8"/>
      <c r="K45" s="10"/>
      <c r="L45" s="190" t="str">
        <f>IF(InformationSEA[[#This Row],[Date d''accord inclusion]]="","",IF(InformationSEA[[#This Row],[Inclusion
(Oui/Non)]]="OUI",IF(InformationSEA[[#This Row],[HPE budgétées 2020]]*0.015&lt;1040,1040*((WEEKNUM(DATE('Informations générales 1'!$C$10,12,31),17)-WEEKNUM(InformationSEA[[#This Row],[Date d''accord inclusion]],17))/52),InformationSEA[[#This Row],[HPE budgétées 2020]]*0.015*((WEEKNUM(DATE('Informations générales 1'!$C$10,12,31),17)-WEEKNUM(InformationSEA[[#This Row],[Date d''accord inclusion]],17))/52)),""))</f>
        <v/>
      </c>
    </row>
    <row r="46" spans="2:12" x14ac:dyDescent="0.25">
      <c r="B46" s="7">
        <v>39</v>
      </c>
      <c r="C46" s="8"/>
      <c r="D46" s="8"/>
      <c r="E46" s="18"/>
      <c r="F46" s="8"/>
      <c r="G46" s="19"/>
      <c r="H46" s="8"/>
      <c r="I46" s="9"/>
      <c r="J46" s="8"/>
      <c r="K46" s="10"/>
      <c r="L46" s="190" t="str">
        <f>IF(InformationSEA[[#This Row],[Date d''accord inclusion]]="","",IF(InformationSEA[[#This Row],[Inclusion
(Oui/Non)]]="OUI",IF(InformationSEA[[#This Row],[HPE budgétées 2020]]*0.015&lt;1040,1040*((WEEKNUM(DATE('Informations générales 1'!$C$10,12,31),17)-WEEKNUM(InformationSEA[[#This Row],[Date d''accord inclusion]],17))/52),InformationSEA[[#This Row],[HPE budgétées 2020]]*0.015*((WEEKNUM(DATE('Informations générales 1'!$C$10,12,31),17)-WEEKNUM(InformationSEA[[#This Row],[Date d''accord inclusion]],17))/52)),""))</f>
        <v/>
      </c>
    </row>
    <row r="47" spans="2:12" x14ac:dyDescent="0.25">
      <c r="B47" s="7">
        <v>40</v>
      </c>
      <c r="C47" s="8"/>
      <c r="D47" s="8"/>
      <c r="E47" s="18"/>
      <c r="F47" s="8"/>
      <c r="G47" s="19"/>
      <c r="H47" s="8"/>
      <c r="I47" s="9"/>
      <c r="J47" s="8"/>
      <c r="K47" s="10"/>
      <c r="L47" s="190" t="str">
        <f>IF(InformationSEA[[#This Row],[Date d''accord inclusion]]="","",IF(InformationSEA[[#This Row],[Inclusion
(Oui/Non)]]="OUI",IF(InformationSEA[[#This Row],[HPE budgétées 2020]]*0.015&lt;1040,1040*((WEEKNUM(DATE('Informations générales 1'!$C$10,12,31),17)-WEEKNUM(InformationSEA[[#This Row],[Date d''accord inclusion]],17))/52),InformationSEA[[#This Row],[HPE budgétées 2020]]*0.015*((WEEKNUM(DATE('Informations générales 1'!$C$10,12,31),17)-WEEKNUM(InformationSEA[[#This Row],[Date d''accord inclusion]],17))/52)),""))</f>
        <v/>
      </c>
    </row>
    <row r="48" spans="2:12" x14ac:dyDescent="0.25">
      <c r="B48" s="7" t="s">
        <v>33</v>
      </c>
      <c r="C48" s="7"/>
      <c r="D48" s="7"/>
      <c r="E48" s="7"/>
      <c r="F48" s="7"/>
      <c r="G48" s="246"/>
      <c r="H48" s="7">
        <f>SUBTOTAL(109,InformationSEA[Capacité maximale
(Agrément)])</f>
        <v>0</v>
      </c>
      <c r="I48" s="247">
        <f>SUBTOTAL(109,InformationSEA[HPE budgétées 2020])</f>
        <v>0</v>
      </c>
      <c r="J48" s="7"/>
      <c r="K48" s="7"/>
      <c r="L48" s="17">
        <f>SUBTOTAL(109,InformationSEA[Heures inclusion accordées])</f>
        <v>0</v>
      </c>
    </row>
  </sheetData>
  <sheetProtection algorithmName="SHA-512" hashValue="KWaSUrCsB7IDvCNhXKzpa6JomNK67PEwc9ckFfQkZjVYfpFC1JHKszeb9rvvwjaG3y8ubldlUF29dUWqbbqGQQ==" saltValue="w0LTEgHYfQlDNCKQ/y5t9A==" spinCount="100000" sheet="1" selectLockedCells="1" autoFilter="0"/>
  <pageMargins left="0.70866141732283472" right="0.70866141732283472" top="0.74803149606299213" bottom="0.74803149606299213" header="0.31496062992125984" footer="0.31496062992125984"/>
  <pageSetup paperSize="9" scale="50" fitToHeight="0" orientation="landscape" r:id="rId1"/>
  <headerFooter>
    <oddHeader>&amp;C&amp;A</oddHeader>
    <oddFooter>&amp;R&amp;P/&amp;N</oddFooter>
  </headerFooter>
  <drawing r:id="rId2"/>
  <tableParts count="1">
    <tablePart r:id="rId3"/>
  </tableParts>
  <extLst>
    <ext xmlns:x14="http://schemas.microsoft.com/office/spreadsheetml/2009/9/main" uri="{CCE6A557-97BC-4b89-ADB6-D9C93CAAB3DF}">
      <x14:dataValidations xmlns:xm="http://schemas.microsoft.com/office/excel/2006/main" count="2">
        <x14:dataValidation type="date" allowBlank="1" showInputMessage="1" showErrorMessage="1" xr:uid="{00000000-0002-0000-0100-000000000000}">
          <x14:formula1>
            <xm:f>DATE('Informations générales 1'!$C$10,1,1)</xm:f>
          </x14:formula1>
          <x14:formula2>
            <xm:f>DATE('Informations générales 1'!$C$10,12,31)</xm:f>
          </x14:formula2>
          <xm:sqref>K8:K47</xm:sqref>
        </x14:dataValidation>
        <x14:dataValidation type="list" allowBlank="1" showInputMessage="1" showErrorMessage="1" xr:uid="{00000000-0002-0000-0100-000001000000}">
          <x14:formula1>
            <xm:f>'Variable et Dropdowns'!$C$2:$C$3</xm:f>
          </x14:formula1>
          <xm:sqref>J8:J47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9" tint="0.59999389629810485"/>
    <pageSetUpPr fitToPage="1"/>
  </sheetPr>
  <dimension ref="B1:E73"/>
  <sheetViews>
    <sheetView zoomScaleNormal="100" workbookViewId="0">
      <selection activeCell="C7" sqref="C7"/>
    </sheetView>
  </sheetViews>
  <sheetFormatPr defaultColWidth="9.140625" defaultRowHeight="15.75" x14ac:dyDescent="0.25"/>
  <cols>
    <col min="1" max="1" width="9.140625" style="2"/>
    <col min="2" max="2" width="69.42578125" style="2" bestFit="1" customWidth="1"/>
    <col min="3" max="3" width="36.28515625" style="450" bestFit="1" customWidth="1"/>
    <col min="4" max="4" width="83.85546875" style="11" bestFit="1" customWidth="1"/>
    <col min="5" max="5" width="9.140625" style="74"/>
    <col min="6" max="16384" width="9.140625" style="2"/>
  </cols>
  <sheetData>
    <row r="1" spans="2:3" x14ac:dyDescent="0.25">
      <c r="B1" s="11" t="str">
        <f>'Informations générales 1'!B7</f>
        <v>DECOMPTE ANNUEL</v>
      </c>
    </row>
    <row r="2" spans="2:3" x14ac:dyDescent="0.25">
      <c r="B2" s="11" t="str">
        <f>'Informations générales 1'!C20&amp;" - "&amp;'Informations générales 1'!C24</f>
        <v>Nom Gestionnaire - Nom SEA</v>
      </c>
    </row>
    <row r="3" spans="2:3" x14ac:dyDescent="0.25">
      <c r="B3" s="20">
        <f>'Informations générales 1'!C10</f>
        <v>2020</v>
      </c>
    </row>
    <row r="5" spans="2:3" x14ac:dyDescent="0.25">
      <c r="B5" s="11" t="s">
        <v>34</v>
      </c>
    </row>
    <row r="7" spans="2:3" x14ac:dyDescent="0.25">
      <c r="B7" s="2" t="s">
        <v>35</v>
      </c>
      <c r="C7" s="248"/>
    </row>
    <row r="9" spans="2:3" x14ac:dyDescent="0.25">
      <c r="B9" s="11" t="s">
        <v>43</v>
      </c>
    </row>
    <row r="12" spans="2:3" x14ac:dyDescent="0.25">
      <c r="B12" s="2" t="str">
        <f>"Nombre d'enfants masculins au 30/11/"&amp;'Informations générales 1'!C10</f>
        <v>Nombre d'enfants masculins au 30/11/2020</v>
      </c>
      <c r="C12" s="248"/>
    </row>
    <row r="13" spans="2:3" x14ac:dyDescent="0.25">
      <c r="B13" s="2" t="str">
        <f>"Nombre d'enfants féminins au 30/11/"&amp;'Informations générales 1'!C10</f>
        <v>Nombre d'enfants féminins au 30/11/2020</v>
      </c>
      <c r="C13" s="248"/>
    </row>
    <row r="14" spans="2:3" x14ac:dyDescent="0.25">
      <c r="B14" s="11" t="s">
        <v>44</v>
      </c>
      <c r="C14" s="194">
        <f>SUM(C12:C13)</f>
        <v>0</v>
      </c>
    </row>
    <row r="17" spans="2:5" x14ac:dyDescent="0.25">
      <c r="B17" s="2" t="str">
        <f>"Nombre d'enfants inscrits au 30/11/"&amp;'Informations générales 1'!C10&amp;"  (&lt; 2 ans)"</f>
        <v>Nombre d'enfants inscrits au 30/11/2020  (&lt; 2 ans)</v>
      </c>
      <c r="C17" s="248"/>
    </row>
    <row r="18" spans="2:5" x14ac:dyDescent="0.25">
      <c r="B18" s="2" t="str">
        <f>"Nombre d'enfants inscrits au 30/11/"&amp;'Informations générales 1'!C10&amp;"  (2-4 ans)"</f>
        <v>Nombre d'enfants inscrits au 30/11/2020  (2-4 ans)</v>
      </c>
      <c r="C18" s="248"/>
    </row>
    <row r="19" spans="2:5" x14ac:dyDescent="0.25">
      <c r="B19" s="2" t="s">
        <v>45</v>
      </c>
      <c r="C19" s="248"/>
      <c r="D19" s="11" t="s">
        <v>70</v>
      </c>
    </row>
    <row r="20" spans="2:5" x14ac:dyDescent="0.25">
      <c r="B20" s="2" t="str">
        <f>"Nombre d'enfants inscrits au 30/11/"&amp;'Informations générales 1'!C10&amp;"  (4-12 ans)"</f>
        <v>Nombre d'enfants inscrits au 30/11/2020  (4-12 ans)</v>
      </c>
      <c r="C20" s="248"/>
    </row>
    <row r="21" spans="2:5" x14ac:dyDescent="0.25">
      <c r="B21" s="11" t="s">
        <v>44</v>
      </c>
      <c r="C21" s="194">
        <f>SUM(C17,C18,C20)</f>
        <v>0</v>
      </c>
    </row>
    <row r="23" spans="2:5" x14ac:dyDescent="0.25">
      <c r="B23" s="2" t="s">
        <v>46</v>
      </c>
      <c r="C23" s="451"/>
      <c r="D23" s="11" t="s">
        <v>71</v>
      </c>
    </row>
    <row r="25" spans="2:5" x14ac:dyDescent="0.25">
      <c r="B25" s="11" t="s">
        <v>47</v>
      </c>
    </row>
    <row r="26" spans="2:5" x14ac:dyDescent="0.25">
      <c r="B26" s="2" t="str">
        <f>"Heures de présences suivant chèque-service (heures facturées "&amp;'Informations générales 1'!C10&amp;")"</f>
        <v>Heures de présences suivant chèque-service (heures facturées 2020)</v>
      </c>
      <c r="C26" s="248"/>
      <c r="D26" s="11" t="s">
        <v>72</v>
      </c>
    </row>
    <row r="28" spans="2:5" x14ac:dyDescent="0.25">
      <c r="B28" s="11" t="s">
        <v>48</v>
      </c>
    </row>
    <row r="29" spans="2:5" x14ac:dyDescent="0.25">
      <c r="B29" s="2" t="str">
        <f>"Heures d'encadrement budgétées pour "&amp;'Informations générales 1'!C10&amp;" (cf.convention "&amp;'Informations générales 1'!C10&amp;")"</f>
        <v>Heures d'encadrement budgétées pour 2020 (cf.convention 2020)</v>
      </c>
      <c r="C29" s="248"/>
      <c r="D29" s="11" t="s">
        <v>72</v>
      </c>
    </row>
    <row r="30" spans="2:5" x14ac:dyDescent="0.25">
      <c r="B30" s="2" t="str">
        <f>"Heures d'encadrement réelles pour "&amp;'Informations générales 1'!C10&amp;" (selon PGI)"</f>
        <v>Heures d'encadrement réelles pour 2020 (selon PGI)</v>
      </c>
      <c r="C30" s="248"/>
      <c r="D30" s="11" t="s">
        <v>72</v>
      </c>
    </row>
    <row r="32" spans="2:5" x14ac:dyDescent="0.25">
      <c r="B32" s="2" t="str">
        <f>"Heures de présences des enfants budgétées pour "&amp;'Informations générales 1'!C10&amp;" (cf.convention "&amp;'Informations générales 1'!C10&amp;")"</f>
        <v>Heures de présences des enfants budgétées pour 2020 (cf.convention 2020)</v>
      </c>
      <c r="C32" s="248"/>
      <c r="D32" s="11" t="s">
        <v>72</v>
      </c>
      <c r="E32" s="75" t="str">
        <f>IF('Information générales 2'!I6='Information générales 3'!C32,"","&lt;-- Le total des heures budgétées ( Inforamtions générales 2) ne correspond pas")</f>
        <v/>
      </c>
    </row>
    <row r="33" spans="2:5" x14ac:dyDescent="0.25">
      <c r="B33" s="2" t="str">
        <f>"Heures de présences réelles des enfants "&amp;'Informations générales 1'!C10&amp;" (selon PGI)"</f>
        <v>Heures de présences réelles des enfants 2020 (selon PGI)</v>
      </c>
      <c r="C33" s="248"/>
      <c r="D33" s="11" t="s">
        <v>72</v>
      </c>
      <c r="E33" s="75"/>
    </row>
    <row r="35" spans="2:5" x14ac:dyDescent="0.25">
      <c r="B35" s="11" t="s">
        <v>49</v>
      </c>
    </row>
    <row r="36" spans="2:5" x14ac:dyDescent="0.25">
      <c r="B36" s="2" t="str">
        <f>"Heures annuelles des Projets spécifiques accordées pour "&amp;'Informations générales 1'!C10</f>
        <v>Heures annuelles des Projets spécifiques accordées pour 2020</v>
      </c>
      <c r="C36" s="248"/>
      <c r="D36" s="11" t="s">
        <v>73</v>
      </c>
    </row>
    <row r="37" spans="2:5" x14ac:dyDescent="0.25">
      <c r="B37" s="2" t="str">
        <f>"Frais de fonctionnement Projets spécifiques accordées pour "&amp;'Informations générales 1'!C10</f>
        <v>Frais de fonctionnement Projets spécifiques accordées pour 2020</v>
      </c>
      <c r="C37" s="248"/>
      <c r="D37" s="11" t="s">
        <v>74</v>
      </c>
    </row>
    <row r="39" spans="2:5" x14ac:dyDescent="0.25">
      <c r="B39" s="11" t="s">
        <v>50</v>
      </c>
    </row>
    <row r="40" spans="2:5" x14ac:dyDescent="0.25">
      <c r="B40" s="2" t="s">
        <v>51</v>
      </c>
      <c r="C40" s="460"/>
    </row>
    <row r="41" spans="2:5" x14ac:dyDescent="0.25">
      <c r="B41" s="2" t="s">
        <v>52</v>
      </c>
      <c r="C41" s="248"/>
      <c r="D41" s="11" t="s">
        <v>73</v>
      </c>
    </row>
    <row r="42" spans="2:5" x14ac:dyDescent="0.25">
      <c r="B42" s="2" t="s">
        <v>53</v>
      </c>
      <c r="C42" s="248"/>
      <c r="D42" s="11" t="s">
        <v>73</v>
      </c>
    </row>
    <row r="43" spans="2:5" x14ac:dyDescent="0.25">
      <c r="B43" s="2" t="s">
        <v>54</v>
      </c>
      <c r="C43" s="194">
        <f>C41/7.33*0.1</f>
        <v>0</v>
      </c>
      <c r="D43" s="11" t="s">
        <v>73</v>
      </c>
    </row>
    <row r="45" spans="2:5" x14ac:dyDescent="0.25">
      <c r="B45" s="11" t="s">
        <v>55</v>
      </c>
    </row>
    <row r="46" spans="2:5" x14ac:dyDescent="0.25">
      <c r="B46" s="2" t="s">
        <v>56</v>
      </c>
      <c r="C46" s="194">
        <f>SUM(C47:C48)</f>
        <v>0</v>
      </c>
      <c r="D46" s="11" t="s">
        <v>75</v>
      </c>
    </row>
    <row r="47" spans="2:5" x14ac:dyDescent="0.25">
      <c r="B47" s="2" t="s">
        <v>57</v>
      </c>
      <c r="C47" s="248"/>
      <c r="D47" s="11" t="s">
        <v>75</v>
      </c>
      <c r="E47" s="75" t="str">
        <f>IF($C$49="NON",IF(C47="","&lt;--Veuillez indiquer le nombre de repas servis préparés sur place.",""),"")</f>
        <v/>
      </c>
    </row>
    <row r="48" spans="2:5" x14ac:dyDescent="0.25">
      <c r="B48" s="2" t="s">
        <v>58</v>
      </c>
      <c r="C48" s="248"/>
      <c r="D48" s="11" t="s">
        <v>75</v>
      </c>
      <c r="E48" s="75" t="str">
        <f>IF($C$49="Oui",IF(C48="","&lt;--Veuillez indiquer le nombre de repas servis préparés en externe.",""),"")</f>
        <v/>
      </c>
    </row>
    <row r="49" spans="2:5" x14ac:dyDescent="0.25">
      <c r="B49" s="2" t="s">
        <v>59</v>
      </c>
      <c r="C49" s="248"/>
    </row>
    <row r="50" spans="2:5" x14ac:dyDescent="0.25">
      <c r="B50" s="2" t="s">
        <v>60</v>
      </c>
      <c r="C50" s="248"/>
      <c r="D50" s="11" t="s">
        <v>74</v>
      </c>
      <c r="E50" s="75" t="str">
        <f>IF($C$49="OUI",IF(C50="","&lt;--Veuillez indiquer le prix par repas unitaire.",""),"")</f>
        <v/>
      </c>
    </row>
    <row r="51" spans="2:5" ht="29.25" customHeight="1" x14ac:dyDescent="0.25">
      <c r="B51" s="23" t="s">
        <v>61</v>
      </c>
      <c r="C51" s="248"/>
      <c r="D51" s="11" t="s">
        <v>76</v>
      </c>
    </row>
    <row r="52" spans="2:5" x14ac:dyDescent="0.25">
      <c r="B52" s="2" t="s">
        <v>62</v>
      </c>
      <c r="C52" s="248"/>
    </row>
    <row r="53" spans="2:5" x14ac:dyDescent="0.25">
      <c r="B53" s="2" t="s">
        <v>63</v>
      </c>
      <c r="C53" s="248"/>
      <c r="D53" s="11" t="s">
        <v>74</v>
      </c>
      <c r="E53" s="75" t="str">
        <f>IF($C$52="Oui",IF(C53="","&lt;--Veuillez indiquer le prix par repas unitaire",""),"")</f>
        <v/>
      </c>
    </row>
    <row r="54" spans="2:5" x14ac:dyDescent="0.25">
      <c r="B54" s="2" t="s">
        <v>64</v>
      </c>
      <c r="C54" s="248"/>
      <c r="D54" s="11" t="s">
        <v>75</v>
      </c>
      <c r="E54" s="75" t="str">
        <f>IF($C$52="Oui",IF(C54="","&lt;--Veuillez indiquer le nombre de repas facturés.",""),"")</f>
        <v/>
      </c>
    </row>
    <row r="56" spans="2:5" x14ac:dyDescent="0.25">
      <c r="B56" s="11" t="s">
        <v>65</v>
      </c>
    </row>
    <row r="57" spans="2:5" x14ac:dyDescent="0.25">
      <c r="B57" s="2" t="s">
        <v>59</v>
      </c>
      <c r="C57" s="248"/>
    </row>
    <row r="58" spans="2:5" ht="30.75" customHeight="1" x14ac:dyDescent="0.25">
      <c r="B58" s="23" t="s">
        <v>61</v>
      </c>
      <c r="C58" s="248"/>
    </row>
    <row r="59" spans="2:5" x14ac:dyDescent="0.25">
      <c r="B59" s="2" t="s">
        <v>66</v>
      </c>
      <c r="C59" s="248"/>
      <c r="D59" s="11" t="s">
        <v>73</v>
      </c>
    </row>
    <row r="61" spans="2:5" x14ac:dyDescent="0.25">
      <c r="B61" s="11" t="s">
        <v>67</v>
      </c>
    </row>
    <row r="62" spans="2:5" x14ac:dyDescent="0.25">
      <c r="B62" s="2" t="s">
        <v>68</v>
      </c>
      <c r="C62" s="248" t="s">
        <v>82</v>
      </c>
    </row>
    <row r="63" spans="2:5" x14ac:dyDescent="0.25">
      <c r="B63" s="2" t="s">
        <v>69</v>
      </c>
      <c r="C63" s="248"/>
    </row>
    <row r="65" spans="2:4" x14ac:dyDescent="0.25">
      <c r="B65" s="11" t="s">
        <v>654</v>
      </c>
    </row>
    <row r="66" spans="2:4" x14ac:dyDescent="0.25">
      <c r="B66" s="11" t="s">
        <v>643</v>
      </c>
      <c r="C66" s="546" t="s">
        <v>650</v>
      </c>
    </row>
    <row r="67" spans="2:4" s="25" customFormat="1" ht="15" x14ac:dyDescent="0.25">
      <c r="C67" s="555"/>
    </row>
    <row r="68" spans="2:4" x14ac:dyDescent="0.25">
      <c r="B68" s="2" t="s">
        <v>638</v>
      </c>
      <c r="C68" s="560"/>
      <c r="D68" s="2"/>
    </row>
    <row r="69" spans="2:4" x14ac:dyDescent="0.25">
      <c r="B69" s="2" t="s">
        <v>651</v>
      </c>
      <c r="C69" s="559"/>
      <c r="D69" s="2" t="s">
        <v>74</v>
      </c>
    </row>
    <row r="70" spans="2:4" x14ac:dyDescent="0.25">
      <c r="B70" s="2" t="s">
        <v>655</v>
      </c>
      <c r="C70" s="547"/>
      <c r="D70" s="2" t="s">
        <v>73</v>
      </c>
    </row>
    <row r="71" spans="2:4" x14ac:dyDescent="0.25">
      <c r="B71" s="2" t="s">
        <v>652</v>
      </c>
      <c r="C71" s="561">
        <f>'SALAIRES CCT SAS'!V4+'SALAIRES COMMUNE'!V4</f>
        <v>0</v>
      </c>
      <c r="D71" s="2" t="s">
        <v>74</v>
      </c>
    </row>
    <row r="72" spans="2:4" x14ac:dyDescent="0.25">
      <c r="B72" s="2" t="s">
        <v>656</v>
      </c>
      <c r="C72" s="561">
        <f>'SALAIRES CCT SAS'!O4+'SALAIRES COMMUNE'!Q4</f>
        <v>0</v>
      </c>
      <c r="D72" s="2" t="s">
        <v>73</v>
      </c>
    </row>
    <row r="73" spans="2:4" x14ac:dyDescent="0.25">
      <c r="B73" s="2" t="s">
        <v>653</v>
      </c>
      <c r="C73" s="562">
        <f>C72-C70</f>
        <v>0</v>
      </c>
      <c r="D73" s="2" t="s">
        <v>73</v>
      </c>
    </row>
  </sheetData>
  <sheetProtection algorithmName="SHA-512" hashValue="hojBmm1Xku1MU4PX5o/u/8so+u7o5aUd8eVlRZfwl1+/6dkOepwG1ytNehc9n/LTXAFh6gDmjjgmT003PENHEw==" saltValue="390UyAWW5T1isrxXMQ0UmQ==" spinCount="100000" sheet="1" selectLockedCells="1"/>
  <dataValidations count="1">
    <dataValidation type="whole" allowBlank="1" showInputMessage="1" showErrorMessage="1" sqref="C23" xr:uid="{00000000-0002-0000-0200-000000000000}">
      <formula1>1</formula1>
      <formula2>52</formula2>
    </dataValidation>
  </dataValidations>
  <pageMargins left="0.7" right="0.7" top="0.75" bottom="0.75" header="0.3" footer="0.3"/>
  <pageSetup paperSize="9" scale="46"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5" id="{D6BDC445-5D17-4CDA-8347-21D997D56BCB}">
            <xm:f>$C$66='Variable et Dropdowns'!$A$7</xm:f>
            <x14:dxf>
              <font>
                <color theme="0"/>
              </font>
              <fill>
                <patternFill>
                  <bgColor theme="0"/>
                </patternFill>
              </fill>
              <border>
                <left/>
                <right/>
                <top/>
                <bottom/>
                <vertical/>
                <horizontal/>
              </border>
            </x14:dxf>
          </x14:cfRule>
          <xm:sqref>B68:C68</xm:sqref>
        </x14:conditionalFormatting>
        <x14:conditionalFormatting xmlns:xm="http://schemas.microsoft.com/office/excel/2006/main">
          <x14:cfRule type="expression" priority="4" id="{7D5EB44E-159B-4A9D-8B2E-193538425E3F}">
            <xm:f>$C$66='Variable et Dropdowns'!$A$6</xm:f>
            <x14:dxf>
              <font>
                <color theme="0"/>
              </font>
              <fill>
                <patternFill>
                  <bgColor theme="0"/>
                </patternFill>
              </fill>
              <border>
                <left/>
                <right/>
                <top/>
                <bottom/>
                <vertical/>
                <horizontal/>
              </border>
            </x14:dxf>
          </x14:cfRule>
          <xm:sqref>B69:C73</xm:sqref>
        </x14:conditionalFormatting>
        <x14:conditionalFormatting xmlns:xm="http://schemas.microsoft.com/office/excel/2006/main">
          <x14:cfRule type="expression" priority="3" id="{CC0E6CAD-68B1-460D-9D05-C0DE8B958A2F}">
            <xm:f>$C$66='Variable et Dropdowns'!$A$7</xm:f>
            <x14:dxf>
              <font>
                <color theme="0"/>
              </font>
              <fill>
                <patternFill>
                  <bgColor theme="0"/>
                </patternFill>
              </fill>
              <border>
                <left/>
                <right/>
                <top/>
                <bottom/>
                <vertical/>
                <horizontal/>
              </border>
            </x14:dxf>
          </x14:cfRule>
          <xm:sqref>D68</xm:sqref>
        </x14:conditionalFormatting>
        <x14:conditionalFormatting xmlns:xm="http://schemas.microsoft.com/office/excel/2006/main">
          <x14:cfRule type="expression" priority="2" id="{C2B7409E-4887-401A-9CF5-7033D209D57F}">
            <xm:f>$C$66='Variable et Dropdowns'!$A$6</xm:f>
            <x14:dxf>
              <font>
                <color theme="0"/>
              </font>
              <fill>
                <patternFill>
                  <bgColor theme="0"/>
                </patternFill>
              </fill>
              <border>
                <left/>
                <right/>
                <top/>
                <bottom/>
                <vertical/>
                <horizontal/>
              </border>
            </x14:dxf>
          </x14:cfRule>
          <xm:sqref>D69:D72</xm:sqref>
        </x14:conditionalFormatting>
        <x14:conditionalFormatting xmlns:xm="http://schemas.microsoft.com/office/excel/2006/main">
          <x14:cfRule type="expression" priority="1" id="{DE6CC717-004F-4360-98E5-AF574ACC1DE6}">
            <xm:f>$C$66='Variable et Dropdowns'!$A$6</xm:f>
            <x14:dxf>
              <font>
                <color theme="0"/>
              </font>
              <fill>
                <patternFill>
                  <bgColor theme="0"/>
                </patternFill>
              </fill>
              <border>
                <left/>
                <right/>
                <top/>
                <bottom/>
                <vertical/>
                <horizontal/>
              </border>
            </x14:dxf>
          </x14:cfRule>
          <xm:sqref>D73</xm:sqref>
        </x14:conditionalFormatting>
      </x14:conditionalFormattings>
    </ext>
    <ext xmlns:x14="http://schemas.microsoft.com/office/spreadsheetml/2009/9/main" uri="{CCE6A557-97BC-4b89-ADB6-D9C93CAAB3DF}">
      <x14:dataValidations xmlns:xm="http://schemas.microsoft.com/office/excel/2006/main" count="7">
        <x14:dataValidation type="date" allowBlank="1" showInputMessage="1" showErrorMessage="1" xr:uid="{00000000-0002-0000-0200-000001000000}">
          <x14:formula1>
            <xm:f>DATE('Informations générales 1'!C10,1,1)</xm:f>
          </x14:formula1>
          <x14:formula2>
            <xm:f>DATE('Informations générales 1'!C10,12,31)</xm:f>
          </x14:formula2>
          <xm:sqref>C40</xm:sqref>
        </x14:dataValidation>
        <x14:dataValidation type="list" allowBlank="1" showInputMessage="1" showErrorMessage="1" xr:uid="{00000000-0002-0000-0200-000002000000}">
          <x14:formula1>
            <xm:f>'Variable et Dropdowns'!$D$2:$D$9</xm:f>
          </x14:formula1>
          <xm:sqref>C7</xm:sqref>
        </x14:dataValidation>
        <x14:dataValidation type="list" allowBlank="1" showInputMessage="1" showErrorMessage="1" xr:uid="{00000000-0002-0000-0200-000003000000}">
          <x14:formula1>
            <xm:f>'Variable et Dropdowns'!$C$2:$C$3</xm:f>
          </x14:formula1>
          <xm:sqref>C49 C52</xm:sqref>
        </x14:dataValidation>
        <x14:dataValidation type="list" allowBlank="1" showInputMessage="1" showErrorMessage="1" xr:uid="{00000000-0002-0000-0200-000004000000}">
          <x14:formula1>
            <xm:f>'Variable et Dropdowns'!$C$2:$C$4</xm:f>
          </x14:formula1>
          <xm:sqref>C57</xm:sqref>
        </x14:dataValidation>
        <x14:dataValidation type="list" allowBlank="1" showInputMessage="1" showErrorMessage="1" xr:uid="{00000000-0002-0000-0200-000005000000}">
          <x14:formula1>
            <xm:f>'Variable et Dropdowns'!$E$2:$E$4</xm:f>
          </x14:formula1>
          <xm:sqref>C62</xm:sqref>
        </x14:dataValidation>
        <x14:dataValidation type="list" allowBlank="1" showInputMessage="1" showErrorMessage="1" xr:uid="{00000000-0002-0000-0200-000006000000}">
          <x14:formula1>
            <xm:f>'Variable et Dropdowns'!$F$2:$F$5</xm:f>
          </x14:formula1>
          <xm:sqref>C63</xm:sqref>
        </x14:dataValidation>
        <x14:dataValidation type="list" allowBlank="1" showInputMessage="1" showErrorMessage="1" xr:uid="{F351D3FF-05AC-40E8-B119-A29A62EB8E1B}">
          <x14:formula1>
            <xm:f>'Variable et Dropdowns'!$A$6:$A$7</xm:f>
          </x14:formula1>
          <xm:sqref>C66:C67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00B0F0"/>
    <pageSetUpPr fitToPage="1"/>
  </sheetPr>
  <dimension ref="B1:H65"/>
  <sheetViews>
    <sheetView workbookViewId="0">
      <selection activeCell="C15" sqref="C15"/>
    </sheetView>
  </sheetViews>
  <sheetFormatPr defaultColWidth="9.140625" defaultRowHeight="15" x14ac:dyDescent="0.25"/>
  <cols>
    <col min="1" max="2" width="9.140625" style="2"/>
    <col min="3" max="3" width="38.140625" style="2" bestFit="1" customWidth="1"/>
    <col min="4" max="5" width="23.42578125" style="2" customWidth="1"/>
    <col min="6" max="6" width="18.28515625" style="2" customWidth="1"/>
    <col min="7" max="16384" width="9.140625" style="2"/>
  </cols>
  <sheetData>
    <row r="1" spans="2:8" x14ac:dyDescent="0.25">
      <c r="B1" s="11" t="str">
        <f>'Informations générales 1'!B7</f>
        <v>DECOMPTE ANNUEL</v>
      </c>
    </row>
    <row r="2" spans="2:8" x14ac:dyDescent="0.25">
      <c r="B2" s="11" t="str">
        <f>'Informations générales 1'!C20&amp;" - "&amp;'Informations générales 1'!C24</f>
        <v>Nom Gestionnaire - Nom SEA</v>
      </c>
    </row>
    <row r="3" spans="2:8" x14ac:dyDescent="0.25">
      <c r="B3" s="20">
        <f>'Informations générales 1'!C10</f>
        <v>2020</v>
      </c>
    </row>
    <row r="5" spans="2:8" x14ac:dyDescent="0.25">
      <c r="B5" s="11" t="s">
        <v>83</v>
      </c>
    </row>
    <row r="8" spans="2:8" x14ac:dyDescent="0.25">
      <c r="C8" s="72" t="s">
        <v>84</v>
      </c>
    </row>
    <row r="9" spans="2:8" x14ac:dyDescent="0.25">
      <c r="C9" s="192" t="s">
        <v>85</v>
      </c>
      <c r="D9" s="28"/>
      <c r="E9" s="73" t="str">
        <f>IF(F13=0,"","&lt;-- Veuillez indiquer l'"&amp;C9)</f>
        <v/>
      </c>
    </row>
    <row r="10" spans="2:8" x14ac:dyDescent="0.25">
      <c r="C10" s="192" t="s">
        <v>86</v>
      </c>
      <c r="D10" s="28"/>
      <c r="E10" s="73" t="str">
        <f>IF(F13=0,"","&lt;-- Veuillez indiquer le code'"&amp;C10)</f>
        <v/>
      </c>
    </row>
    <row r="13" spans="2:8" x14ac:dyDescent="0.25">
      <c r="E13" s="72" t="s">
        <v>33</v>
      </c>
      <c r="F13" s="459">
        <f>BPI[[#Totals],[Aide étatique]]</f>
        <v>0</v>
      </c>
    </row>
    <row r="14" spans="2:8" x14ac:dyDescent="0.25">
      <c r="B14" s="29" t="s">
        <v>21</v>
      </c>
      <c r="C14" s="29" t="s">
        <v>87</v>
      </c>
      <c r="D14" s="29" t="s">
        <v>88</v>
      </c>
      <c r="E14" s="29" t="s">
        <v>89</v>
      </c>
      <c r="F14" s="29" t="s">
        <v>90</v>
      </c>
    </row>
    <row r="15" spans="2:8" x14ac:dyDescent="0.25">
      <c r="B15" s="7">
        <v>1</v>
      </c>
      <c r="C15" s="8"/>
      <c r="D15" s="30"/>
      <c r="E15" s="30"/>
      <c r="F15" s="191" t="str">
        <f>IF(COUNTA(BPI[[#This Row],[Initiales du nom de l''enfant]:[au]])=3,(MONTH(BPI[[#This Row],[au]])-MONTH(BPI[[#This Row],[du]])+1)*100,"")</f>
        <v/>
      </c>
      <c r="H15" s="73" t="str">
        <f>IF(COUNTA(BPI[[#This Row],[Initiales du nom de l''enfant]:[au]])=0,"",IF(COUNTA(BPI[[#This Row],[Initiales du nom de l''enfant]:[au]])=3,"","&lt;-- Veuillez compléter tous les champs"))</f>
        <v/>
      </c>
    </row>
    <row r="16" spans="2:8" x14ac:dyDescent="0.25">
      <c r="B16" s="7">
        <v>2</v>
      </c>
      <c r="C16" s="8"/>
      <c r="D16" s="30"/>
      <c r="E16" s="30"/>
      <c r="F16" s="191" t="str">
        <f>IF(COUNTA(BPI[[#This Row],[Initiales du nom de l''enfant]:[au]])=3,(MONTH(BPI[[#This Row],[au]])-MONTH(BPI[[#This Row],[du]])+1)*100,"")</f>
        <v/>
      </c>
      <c r="H16" s="73" t="str">
        <f>IF(COUNTA(BPI[[#This Row],[Initiales du nom de l''enfant]:[au]])=0,"",IF(COUNTA(BPI[[#This Row],[Initiales du nom de l''enfant]:[au]])=3,"","&lt;-- Veuillez compléter tous les champs"))</f>
        <v/>
      </c>
    </row>
    <row r="17" spans="2:8" x14ac:dyDescent="0.25">
      <c r="B17" s="7">
        <v>3</v>
      </c>
      <c r="C17" s="8"/>
      <c r="D17" s="30"/>
      <c r="E17" s="30"/>
      <c r="F17" s="191" t="str">
        <f>IF(COUNTA(BPI[[#This Row],[Initiales du nom de l''enfant]:[au]])=3,(MONTH(BPI[[#This Row],[au]])-MONTH(BPI[[#This Row],[du]])+1)*100,"")</f>
        <v/>
      </c>
      <c r="H17" s="73" t="str">
        <f>IF(COUNTA(BPI[[#This Row],[Initiales du nom de l''enfant]:[au]])=0,"",IF(COUNTA(BPI[[#This Row],[Initiales du nom de l''enfant]:[au]])=3,"","&lt;-- Veuillez compléter tous les champs"))</f>
        <v/>
      </c>
    </row>
    <row r="18" spans="2:8" x14ac:dyDescent="0.25">
      <c r="B18" s="7">
        <v>4</v>
      </c>
      <c r="C18" s="8"/>
      <c r="D18" s="30"/>
      <c r="E18" s="30"/>
      <c r="F18" s="191" t="str">
        <f>IF(COUNTA(BPI[[#This Row],[Initiales du nom de l''enfant]:[au]])=3,(MONTH(BPI[[#This Row],[au]])-MONTH(BPI[[#This Row],[du]])+1)*100,"")</f>
        <v/>
      </c>
      <c r="H18" s="73" t="str">
        <f>IF(COUNTA(BPI[[#This Row],[Initiales du nom de l''enfant]:[au]])=0,"",IF(COUNTA(BPI[[#This Row],[Initiales du nom de l''enfant]:[au]])=3,"","&lt;-- Veuillez compléter tous les champs"))</f>
        <v/>
      </c>
    </row>
    <row r="19" spans="2:8" x14ac:dyDescent="0.25">
      <c r="B19" s="7">
        <v>5</v>
      </c>
      <c r="C19" s="8"/>
      <c r="D19" s="30"/>
      <c r="E19" s="30"/>
      <c r="F19" s="191" t="str">
        <f>IF(COUNTA(BPI[[#This Row],[Initiales du nom de l''enfant]:[au]])=3,(MONTH(BPI[[#This Row],[au]])-MONTH(BPI[[#This Row],[du]])+1)*100,"")</f>
        <v/>
      </c>
      <c r="H19" s="73" t="str">
        <f>IF(COUNTA(BPI[[#This Row],[Initiales du nom de l''enfant]:[au]])=0,"",IF(COUNTA(BPI[[#This Row],[Initiales du nom de l''enfant]:[au]])=3,"","&lt;-- Veuillez compléter tous les champs"))</f>
        <v/>
      </c>
    </row>
    <row r="20" spans="2:8" x14ac:dyDescent="0.25">
      <c r="B20" s="7">
        <v>6</v>
      </c>
      <c r="C20" s="8"/>
      <c r="D20" s="30"/>
      <c r="E20" s="30"/>
      <c r="F20" s="191" t="str">
        <f>IF(COUNTA(BPI[[#This Row],[Initiales du nom de l''enfant]:[au]])=3,(MONTH(BPI[[#This Row],[au]])-MONTH(BPI[[#This Row],[du]])+1)*100,"")</f>
        <v/>
      </c>
      <c r="H20" s="73" t="str">
        <f>IF(COUNTA(BPI[[#This Row],[Initiales du nom de l''enfant]:[au]])=0,"",IF(COUNTA(BPI[[#This Row],[Initiales du nom de l''enfant]:[au]])=3,"","&lt;-- Veuillez compléter tous les champs"))</f>
        <v/>
      </c>
    </row>
    <row r="21" spans="2:8" x14ac:dyDescent="0.25">
      <c r="B21" s="7">
        <v>7</v>
      </c>
      <c r="C21" s="8"/>
      <c r="D21" s="30"/>
      <c r="E21" s="30"/>
      <c r="F21" s="191" t="str">
        <f>IF(COUNTA(BPI[[#This Row],[Initiales du nom de l''enfant]:[au]])=3,(MONTH(BPI[[#This Row],[au]])-MONTH(BPI[[#This Row],[du]])+1)*100,"")</f>
        <v/>
      </c>
      <c r="H21" s="73" t="str">
        <f>IF(COUNTA(BPI[[#This Row],[Initiales du nom de l''enfant]:[au]])=0,"",IF(COUNTA(BPI[[#This Row],[Initiales du nom de l''enfant]:[au]])=3,"","&lt;-- Veuillez compléter tous les champs"))</f>
        <v/>
      </c>
    </row>
    <row r="22" spans="2:8" x14ac:dyDescent="0.25">
      <c r="B22" s="7">
        <v>8</v>
      </c>
      <c r="C22" s="8"/>
      <c r="D22" s="30"/>
      <c r="E22" s="30"/>
      <c r="F22" s="191" t="str">
        <f>IF(COUNTA(BPI[[#This Row],[Initiales du nom de l''enfant]:[au]])=3,(MONTH(BPI[[#This Row],[au]])-MONTH(BPI[[#This Row],[du]])+1)*100,"")</f>
        <v/>
      </c>
      <c r="H22" s="73" t="str">
        <f>IF(COUNTA(BPI[[#This Row],[Initiales du nom de l''enfant]:[au]])=0,"",IF(COUNTA(BPI[[#This Row],[Initiales du nom de l''enfant]:[au]])=3,"","&lt;-- Veuillez compléter tous les champs"))</f>
        <v/>
      </c>
    </row>
    <row r="23" spans="2:8" x14ac:dyDescent="0.25">
      <c r="B23" s="7">
        <v>9</v>
      </c>
      <c r="C23" s="8"/>
      <c r="D23" s="30"/>
      <c r="E23" s="30"/>
      <c r="F23" s="191" t="str">
        <f>IF(COUNTA(BPI[[#This Row],[Initiales du nom de l''enfant]:[au]])=3,(MONTH(BPI[[#This Row],[au]])-MONTH(BPI[[#This Row],[du]])+1)*100,"")</f>
        <v/>
      </c>
      <c r="H23" s="73" t="str">
        <f>IF(COUNTA(BPI[[#This Row],[Initiales du nom de l''enfant]:[au]])=0,"",IF(COUNTA(BPI[[#This Row],[Initiales du nom de l''enfant]:[au]])=3,"","&lt;-- Veuillez compléter tous les champs"))</f>
        <v/>
      </c>
    </row>
    <row r="24" spans="2:8" x14ac:dyDescent="0.25">
      <c r="B24" s="7">
        <v>10</v>
      </c>
      <c r="C24" s="8"/>
      <c r="D24" s="30"/>
      <c r="E24" s="30"/>
      <c r="F24" s="191" t="str">
        <f>IF(COUNTA(BPI[[#This Row],[Initiales du nom de l''enfant]:[au]])=3,(MONTH(BPI[[#This Row],[au]])-MONTH(BPI[[#This Row],[du]])+1)*100,"")</f>
        <v/>
      </c>
      <c r="H24" s="73" t="str">
        <f>IF(COUNTA(BPI[[#This Row],[Initiales du nom de l''enfant]:[au]])=0,"",IF(COUNTA(BPI[[#This Row],[Initiales du nom de l''enfant]:[au]])=3,"","&lt;-- Veuillez compléter tous les champs"))</f>
        <v/>
      </c>
    </row>
    <row r="25" spans="2:8" x14ac:dyDescent="0.25">
      <c r="B25" s="7">
        <v>11</v>
      </c>
      <c r="C25" s="8"/>
      <c r="D25" s="30"/>
      <c r="E25" s="30"/>
      <c r="F25" s="191" t="str">
        <f>IF(COUNTA(BPI[[#This Row],[Initiales du nom de l''enfant]:[au]])=3,(MONTH(BPI[[#This Row],[au]])-MONTH(BPI[[#This Row],[du]])+1)*100,"")</f>
        <v/>
      </c>
      <c r="H25" s="73" t="str">
        <f>IF(COUNTA(BPI[[#This Row],[Initiales du nom de l''enfant]:[au]])=0,"",IF(COUNTA(BPI[[#This Row],[Initiales du nom de l''enfant]:[au]])=3,"","&lt;-- Veuillez compléter tous les champs"))</f>
        <v/>
      </c>
    </row>
    <row r="26" spans="2:8" x14ac:dyDescent="0.25">
      <c r="B26" s="7">
        <v>12</v>
      </c>
      <c r="C26" s="8"/>
      <c r="D26" s="30"/>
      <c r="E26" s="30"/>
      <c r="F26" s="191" t="str">
        <f>IF(COUNTA(BPI[[#This Row],[Initiales du nom de l''enfant]:[au]])=3,(MONTH(BPI[[#This Row],[au]])-MONTH(BPI[[#This Row],[du]])+1)*100,"")</f>
        <v/>
      </c>
      <c r="H26" s="73" t="str">
        <f>IF(COUNTA(BPI[[#This Row],[Initiales du nom de l''enfant]:[au]])=0,"",IF(COUNTA(BPI[[#This Row],[Initiales du nom de l''enfant]:[au]])=3,"","&lt;-- Veuillez compléter tous les champs"))</f>
        <v/>
      </c>
    </row>
    <row r="27" spans="2:8" x14ac:dyDescent="0.25">
      <c r="B27" s="7">
        <v>13</v>
      </c>
      <c r="C27" s="8"/>
      <c r="D27" s="30"/>
      <c r="E27" s="30"/>
      <c r="F27" s="191" t="str">
        <f>IF(COUNTA(BPI[[#This Row],[Initiales du nom de l''enfant]:[au]])=3,(MONTH(BPI[[#This Row],[au]])-MONTH(BPI[[#This Row],[du]])+1)*100,"")</f>
        <v/>
      </c>
      <c r="H27" s="73" t="str">
        <f>IF(COUNTA(BPI[[#This Row],[Initiales du nom de l''enfant]:[au]])=0,"",IF(COUNTA(BPI[[#This Row],[Initiales du nom de l''enfant]:[au]])=3,"","&lt;-- Veuillez compléter tous les champs"))</f>
        <v/>
      </c>
    </row>
    <row r="28" spans="2:8" x14ac:dyDescent="0.25">
      <c r="B28" s="7">
        <v>14</v>
      </c>
      <c r="C28" s="8"/>
      <c r="D28" s="30"/>
      <c r="E28" s="30"/>
      <c r="F28" s="191" t="str">
        <f>IF(COUNTA(BPI[[#This Row],[Initiales du nom de l''enfant]:[au]])=3,(MONTH(BPI[[#This Row],[au]])-MONTH(BPI[[#This Row],[du]])+1)*100,"")</f>
        <v/>
      </c>
      <c r="H28" s="73" t="str">
        <f>IF(COUNTA(BPI[[#This Row],[Initiales du nom de l''enfant]:[au]])=0,"",IF(COUNTA(BPI[[#This Row],[Initiales du nom de l''enfant]:[au]])=3,"","&lt;-- Veuillez compléter tous les champs"))</f>
        <v/>
      </c>
    </row>
    <row r="29" spans="2:8" x14ac:dyDescent="0.25">
      <c r="B29" s="7">
        <v>15</v>
      </c>
      <c r="C29" s="8"/>
      <c r="D29" s="30"/>
      <c r="E29" s="30"/>
      <c r="F29" s="191" t="str">
        <f>IF(COUNTA(BPI[[#This Row],[Initiales du nom de l''enfant]:[au]])=3,(MONTH(BPI[[#This Row],[au]])-MONTH(BPI[[#This Row],[du]])+1)*100,"")</f>
        <v/>
      </c>
      <c r="H29" s="73" t="str">
        <f>IF(COUNTA(BPI[[#This Row],[Initiales du nom de l''enfant]:[au]])=0,"",IF(COUNTA(BPI[[#This Row],[Initiales du nom de l''enfant]:[au]])=3,"","&lt;-- Veuillez compléter tous les champs"))</f>
        <v/>
      </c>
    </row>
    <row r="30" spans="2:8" x14ac:dyDescent="0.25">
      <c r="B30" s="7">
        <v>16</v>
      </c>
      <c r="C30" s="8"/>
      <c r="D30" s="30"/>
      <c r="E30" s="30"/>
      <c r="F30" s="191" t="str">
        <f>IF(COUNTA(BPI[[#This Row],[Initiales du nom de l''enfant]:[au]])=3,(MONTH(BPI[[#This Row],[au]])-MONTH(BPI[[#This Row],[du]])+1)*100,"")</f>
        <v/>
      </c>
      <c r="H30" s="73" t="str">
        <f>IF(COUNTA(BPI[[#This Row],[Initiales du nom de l''enfant]:[au]])=0,"",IF(COUNTA(BPI[[#This Row],[Initiales du nom de l''enfant]:[au]])=3,"","&lt;-- Veuillez compléter tous les champs"))</f>
        <v/>
      </c>
    </row>
    <row r="31" spans="2:8" x14ac:dyDescent="0.25">
      <c r="B31" s="7">
        <v>17</v>
      </c>
      <c r="C31" s="8"/>
      <c r="D31" s="30"/>
      <c r="E31" s="30"/>
      <c r="F31" s="191" t="str">
        <f>IF(COUNTA(BPI[[#This Row],[Initiales du nom de l''enfant]:[au]])=3,(MONTH(BPI[[#This Row],[au]])-MONTH(BPI[[#This Row],[du]])+1)*100,"")</f>
        <v/>
      </c>
      <c r="H31" s="73" t="str">
        <f>IF(COUNTA(BPI[[#This Row],[Initiales du nom de l''enfant]:[au]])=0,"",IF(COUNTA(BPI[[#This Row],[Initiales du nom de l''enfant]:[au]])=3,"","&lt;-- Veuillez compléter tous les champs"))</f>
        <v/>
      </c>
    </row>
    <row r="32" spans="2:8" x14ac:dyDescent="0.25">
      <c r="B32" s="7">
        <v>18</v>
      </c>
      <c r="C32" s="8"/>
      <c r="D32" s="30"/>
      <c r="E32" s="30"/>
      <c r="F32" s="191" t="str">
        <f>IF(COUNTA(BPI[[#This Row],[Initiales du nom de l''enfant]:[au]])=3,(MONTH(BPI[[#This Row],[au]])-MONTH(BPI[[#This Row],[du]])+1)*100,"")</f>
        <v/>
      </c>
      <c r="H32" s="73" t="str">
        <f>IF(COUNTA(BPI[[#This Row],[Initiales du nom de l''enfant]:[au]])=0,"",IF(COUNTA(BPI[[#This Row],[Initiales du nom de l''enfant]:[au]])=3,"","&lt;-- Veuillez compléter tous les champs"))</f>
        <v/>
      </c>
    </row>
    <row r="33" spans="2:8" x14ac:dyDescent="0.25">
      <c r="B33" s="7">
        <v>19</v>
      </c>
      <c r="C33" s="8"/>
      <c r="D33" s="30"/>
      <c r="E33" s="30"/>
      <c r="F33" s="191" t="str">
        <f>IF(COUNTA(BPI[[#This Row],[Initiales du nom de l''enfant]:[au]])=3,(MONTH(BPI[[#This Row],[au]])-MONTH(BPI[[#This Row],[du]])+1)*100,"")</f>
        <v/>
      </c>
      <c r="H33" s="73" t="str">
        <f>IF(COUNTA(BPI[[#This Row],[Initiales du nom de l''enfant]:[au]])=0,"",IF(COUNTA(BPI[[#This Row],[Initiales du nom de l''enfant]:[au]])=3,"","&lt;-- Veuillez compléter tous les champs"))</f>
        <v/>
      </c>
    </row>
    <row r="34" spans="2:8" x14ac:dyDescent="0.25">
      <c r="B34" s="7">
        <v>20</v>
      </c>
      <c r="C34" s="8"/>
      <c r="D34" s="30"/>
      <c r="E34" s="30"/>
      <c r="F34" s="191" t="str">
        <f>IF(COUNTA(BPI[[#This Row],[Initiales du nom de l''enfant]:[au]])=3,(MONTH(BPI[[#This Row],[au]])-MONTH(BPI[[#This Row],[du]])+1)*100,"")</f>
        <v/>
      </c>
      <c r="H34" s="73" t="str">
        <f>IF(COUNTA(BPI[[#This Row],[Initiales du nom de l''enfant]:[au]])=0,"",IF(COUNTA(BPI[[#This Row],[Initiales du nom de l''enfant]:[au]])=3,"","&lt;-- Veuillez compléter tous les champs"))</f>
        <v/>
      </c>
    </row>
    <row r="35" spans="2:8" x14ac:dyDescent="0.25">
      <c r="B35" s="7">
        <v>21</v>
      </c>
      <c r="C35" s="8"/>
      <c r="D35" s="30"/>
      <c r="E35" s="30"/>
      <c r="F35" s="191" t="str">
        <f>IF(COUNTA(BPI[[#This Row],[Initiales du nom de l''enfant]:[au]])=3,(MONTH(BPI[[#This Row],[au]])-MONTH(BPI[[#This Row],[du]])+1)*100,"")</f>
        <v/>
      </c>
      <c r="H35" s="73" t="str">
        <f>IF(COUNTA(BPI[[#This Row],[Initiales du nom de l''enfant]:[au]])=0,"",IF(COUNTA(BPI[[#This Row],[Initiales du nom de l''enfant]:[au]])=3,"","&lt;-- Veuillez compléter tous les champs"))</f>
        <v/>
      </c>
    </row>
    <row r="36" spans="2:8" x14ac:dyDescent="0.25">
      <c r="B36" s="7">
        <v>22</v>
      </c>
      <c r="C36" s="8"/>
      <c r="D36" s="30"/>
      <c r="E36" s="30"/>
      <c r="F36" s="191" t="str">
        <f>IF(COUNTA(BPI[[#This Row],[Initiales du nom de l''enfant]:[au]])=3,(MONTH(BPI[[#This Row],[au]])-MONTH(BPI[[#This Row],[du]])+1)*100,"")</f>
        <v/>
      </c>
      <c r="H36" s="73" t="str">
        <f>IF(COUNTA(BPI[[#This Row],[Initiales du nom de l''enfant]:[au]])=0,"",IF(COUNTA(BPI[[#This Row],[Initiales du nom de l''enfant]:[au]])=3,"","&lt;-- Veuillez compléter tous les champs"))</f>
        <v/>
      </c>
    </row>
    <row r="37" spans="2:8" x14ac:dyDescent="0.25">
      <c r="B37" s="7">
        <v>23</v>
      </c>
      <c r="C37" s="8"/>
      <c r="D37" s="30"/>
      <c r="E37" s="30"/>
      <c r="F37" s="191" t="str">
        <f>IF(COUNTA(BPI[[#This Row],[Initiales du nom de l''enfant]:[au]])=3,(MONTH(BPI[[#This Row],[au]])-MONTH(BPI[[#This Row],[du]])+1)*100,"")</f>
        <v/>
      </c>
      <c r="H37" s="73" t="str">
        <f>IF(COUNTA(BPI[[#This Row],[Initiales du nom de l''enfant]:[au]])=0,"",IF(COUNTA(BPI[[#This Row],[Initiales du nom de l''enfant]:[au]])=3,"","&lt;-- Veuillez compléter tous les champs"))</f>
        <v/>
      </c>
    </row>
    <row r="38" spans="2:8" x14ac:dyDescent="0.25">
      <c r="B38" s="7">
        <v>24</v>
      </c>
      <c r="C38" s="8"/>
      <c r="D38" s="30"/>
      <c r="E38" s="30"/>
      <c r="F38" s="191" t="str">
        <f>IF(COUNTA(BPI[[#This Row],[Initiales du nom de l''enfant]:[au]])=3,(MONTH(BPI[[#This Row],[au]])-MONTH(BPI[[#This Row],[du]])+1)*100,"")</f>
        <v/>
      </c>
      <c r="H38" s="73" t="str">
        <f>IF(COUNTA(BPI[[#This Row],[Initiales du nom de l''enfant]:[au]])=0,"",IF(COUNTA(BPI[[#This Row],[Initiales du nom de l''enfant]:[au]])=3,"","&lt;-- Veuillez compléter tous les champs"))</f>
        <v/>
      </c>
    </row>
    <row r="39" spans="2:8" x14ac:dyDescent="0.25">
      <c r="B39" s="7">
        <v>25</v>
      </c>
      <c r="C39" s="8"/>
      <c r="D39" s="30"/>
      <c r="E39" s="30"/>
      <c r="F39" s="191" t="str">
        <f>IF(COUNTA(BPI[[#This Row],[Initiales du nom de l''enfant]:[au]])=3,(MONTH(BPI[[#This Row],[au]])-MONTH(BPI[[#This Row],[du]])+1)*100,"")</f>
        <v/>
      </c>
      <c r="H39" s="73" t="str">
        <f>IF(COUNTA(BPI[[#This Row],[Initiales du nom de l''enfant]:[au]])=0,"",IF(COUNTA(BPI[[#This Row],[Initiales du nom de l''enfant]:[au]])=3,"","&lt;-- Veuillez compléter tous les champs"))</f>
        <v/>
      </c>
    </row>
    <row r="40" spans="2:8" x14ac:dyDescent="0.25">
      <c r="B40" s="7">
        <v>26</v>
      </c>
      <c r="C40" s="8"/>
      <c r="D40" s="30"/>
      <c r="E40" s="30"/>
      <c r="F40" s="191" t="str">
        <f>IF(COUNTA(BPI[[#This Row],[Initiales du nom de l''enfant]:[au]])=3,(MONTH(BPI[[#This Row],[au]])-MONTH(BPI[[#This Row],[du]])+1)*100,"")</f>
        <v/>
      </c>
      <c r="H40" s="73" t="str">
        <f>IF(COUNTA(BPI[[#This Row],[Initiales du nom de l''enfant]:[au]])=0,"",IF(COUNTA(BPI[[#This Row],[Initiales du nom de l''enfant]:[au]])=3,"","&lt;-- Veuillez compléter tous les champs"))</f>
        <v/>
      </c>
    </row>
    <row r="41" spans="2:8" x14ac:dyDescent="0.25">
      <c r="B41" s="7">
        <v>27</v>
      </c>
      <c r="C41" s="8"/>
      <c r="D41" s="30"/>
      <c r="E41" s="30"/>
      <c r="F41" s="191" t="str">
        <f>IF(COUNTA(BPI[[#This Row],[Initiales du nom de l''enfant]:[au]])=3,(MONTH(BPI[[#This Row],[au]])-MONTH(BPI[[#This Row],[du]])+1)*100,"")</f>
        <v/>
      </c>
      <c r="H41" s="73" t="str">
        <f>IF(COUNTA(BPI[[#This Row],[Initiales du nom de l''enfant]:[au]])=0,"",IF(COUNTA(BPI[[#This Row],[Initiales du nom de l''enfant]:[au]])=3,"","&lt;-- Veuillez compléter tous les champs"))</f>
        <v/>
      </c>
    </row>
    <row r="42" spans="2:8" x14ac:dyDescent="0.25">
      <c r="B42" s="7">
        <v>28</v>
      </c>
      <c r="C42" s="8"/>
      <c r="D42" s="30"/>
      <c r="E42" s="30"/>
      <c r="F42" s="191" t="str">
        <f>IF(COUNTA(BPI[[#This Row],[Initiales du nom de l''enfant]:[au]])=3,(MONTH(BPI[[#This Row],[au]])-MONTH(BPI[[#This Row],[du]])+1)*100,"")</f>
        <v/>
      </c>
      <c r="H42" s="73" t="str">
        <f>IF(COUNTA(BPI[[#This Row],[Initiales du nom de l''enfant]:[au]])=0,"",IF(COUNTA(BPI[[#This Row],[Initiales du nom de l''enfant]:[au]])=3,"","&lt;-- Veuillez compléter tous les champs"))</f>
        <v/>
      </c>
    </row>
    <row r="43" spans="2:8" x14ac:dyDescent="0.25">
      <c r="B43" s="7">
        <v>29</v>
      </c>
      <c r="C43" s="8"/>
      <c r="D43" s="30"/>
      <c r="E43" s="30"/>
      <c r="F43" s="191" t="str">
        <f>IF(COUNTA(BPI[[#This Row],[Initiales du nom de l''enfant]:[au]])=3,(MONTH(BPI[[#This Row],[au]])-MONTH(BPI[[#This Row],[du]])+1)*100,"")</f>
        <v/>
      </c>
      <c r="H43" s="73" t="str">
        <f>IF(COUNTA(BPI[[#This Row],[Initiales du nom de l''enfant]:[au]])=0,"",IF(COUNTA(BPI[[#This Row],[Initiales du nom de l''enfant]:[au]])=3,"","&lt;-- Veuillez compléter tous les champs"))</f>
        <v/>
      </c>
    </row>
    <row r="44" spans="2:8" x14ac:dyDescent="0.25">
      <c r="B44" s="7">
        <v>30</v>
      </c>
      <c r="C44" s="8"/>
      <c r="D44" s="30"/>
      <c r="E44" s="30"/>
      <c r="F44" s="191" t="str">
        <f>IF(COUNTA(BPI[[#This Row],[Initiales du nom de l''enfant]:[au]])=3,(MONTH(BPI[[#This Row],[au]])-MONTH(BPI[[#This Row],[du]])+1)*100,"")</f>
        <v/>
      </c>
      <c r="H44" s="73" t="str">
        <f>IF(COUNTA(BPI[[#This Row],[Initiales du nom de l''enfant]:[au]])=0,"",IF(COUNTA(BPI[[#This Row],[Initiales du nom de l''enfant]:[au]])=3,"","&lt;-- Veuillez compléter tous les champs"))</f>
        <v/>
      </c>
    </row>
    <row r="45" spans="2:8" x14ac:dyDescent="0.25">
      <c r="B45" s="7">
        <v>31</v>
      </c>
      <c r="C45" s="8"/>
      <c r="D45" s="30"/>
      <c r="E45" s="30"/>
      <c r="F45" s="191" t="str">
        <f>IF(COUNTA(BPI[[#This Row],[Initiales du nom de l''enfant]:[au]])=3,(MONTH(BPI[[#This Row],[au]])-MONTH(BPI[[#This Row],[du]])+1)*100,"")</f>
        <v/>
      </c>
      <c r="H45" s="73" t="str">
        <f>IF(COUNTA(BPI[[#This Row],[Initiales du nom de l''enfant]:[au]])=0,"",IF(COUNTA(BPI[[#This Row],[Initiales du nom de l''enfant]:[au]])=3,"","&lt;-- Veuillez compléter tous les champs"))</f>
        <v/>
      </c>
    </row>
    <row r="46" spans="2:8" x14ac:dyDescent="0.25">
      <c r="B46" s="7">
        <v>32</v>
      </c>
      <c r="C46" s="8"/>
      <c r="D46" s="30"/>
      <c r="E46" s="30"/>
      <c r="F46" s="191" t="str">
        <f>IF(COUNTA(BPI[[#This Row],[Initiales du nom de l''enfant]:[au]])=3,(MONTH(BPI[[#This Row],[au]])-MONTH(BPI[[#This Row],[du]])+1)*100,"")</f>
        <v/>
      </c>
      <c r="H46" s="73" t="str">
        <f>IF(COUNTA(BPI[[#This Row],[Initiales du nom de l''enfant]:[au]])=0,"",IF(COUNTA(BPI[[#This Row],[Initiales du nom de l''enfant]:[au]])=3,"","&lt;-- Veuillez compléter tous les champs"))</f>
        <v/>
      </c>
    </row>
    <row r="47" spans="2:8" x14ac:dyDescent="0.25">
      <c r="B47" s="7">
        <v>33</v>
      </c>
      <c r="C47" s="8"/>
      <c r="D47" s="30"/>
      <c r="E47" s="30"/>
      <c r="F47" s="191" t="str">
        <f>IF(COUNTA(BPI[[#This Row],[Initiales du nom de l''enfant]:[au]])=3,(MONTH(BPI[[#This Row],[au]])-MONTH(BPI[[#This Row],[du]])+1)*100,"")</f>
        <v/>
      </c>
      <c r="H47" s="73" t="str">
        <f>IF(COUNTA(BPI[[#This Row],[Initiales du nom de l''enfant]:[au]])=0,"",IF(COUNTA(BPI[[#This Row],[Initiales du nom de l''enfant]:[au]])=3,"","&lt;-- Veuillez compléter tous les champs"))</f>
        <v/>
      </c>
    </row>
    <row r="48" spans="2:8" x14ac:dyDescent="0.25">
      <c r="B48" s="7">
        <v>34</v>
      </c>
      <c r="C48" s="8"/>
      <c r="D48" s="30"/>
      <c r="E48" s="30"/>
      <c r="F48" s="191" t="str">
        <f>IF(COUNTA(BPI[[#This Row],[Initiales du nom de l''enfant]:[au]])=3,(MONTH(BPI[[#This Row],[au]])-MONTH(BPI[[#This Row],[du]])+1)*100,"")</f>
        <v/>
      </c>
      <c r="H48" s="73" t="str">
        <f>IF(COUNTA(BPI[[#This Row],[Initiales du nom de l''enfant]:[au]])=0,"",IF(COUNTA(BPI[[#This Row],[Initiales du nom de l''enfant]:[au]])=3,"","&lt;-- Veuillez compléter tous les champs"))</f>
        <v/>
      </c>
    </row>
    <row r="49" spans="2:8" x14ac:dyDescent="0.25">
      <c r="B49" s="7">
        <v>35</v>
      </c>
      <c r="C49" s="8"/>
      <c r="D49" s="30"/>
      <c r="E49" s="30"/>
      <c r="F49" s="191" t="str">
        <f>IF(COUNTA(BPI[[#This Row],[Initiales du nom de l''enfant]:[au]])=3,(MONTH(BPI[[#This Row],[au]])-MONTH(BPI[[#This Row],[du]])+1)*100,"")</f>
        <v/>
      </c>
      <c r="H49" s="73" t="str">
        <f>IF(COUNTA(BPI[[#This Row],[Initiales du nom de l''enfant]:[au]])=0,"",IF(COUNTA(BPI[[#This Row],[Initiales du nom de l''enfant]:[au]])=3,"","&lt;-- Veuillez compléter tous les champs"))</f>
        <v/>
      </c>
    </row>
    <row r="50" spans="2:8" x14ac:dyDescent="0.25">
      <c r="B50" s="7">
        <v>36</v>
      </c>
      <c r="C50" s="8"/>
      <c r="D50" s="30"/>
      <c r="E50" s="30"/>
      <c r="F50" s="191" t="str">
        <f>IF(COUNTA(BPI[[#This Row],[Initiales du nom de l''enfant]:[au]])=3,(MONTH(BPI[[#This Row],[au]])-MONTH(BPI[[#This Row],[du]])+1)*100,"")</f>
        <v/>
      </c>
      <c r="H50" s="73" t="str">
        <f>IF(COUNTA(BPI[[#This Row],[Initiales du nom de l''enfant]:[au]])=0,"",IF(COUNTA(BPI[[#This Row],[Initiales du nom de l''enfant]:[au]])=3,"","&lt;-- Veuillez compléter tous les champs"))</f>
        <v/>
      </c>
    </row>
    <row r="51" spans="2:8" x14ac:dyDescent="0.25">
      <c r="B51" s="7">
        <v>37</v>
      </c>
      <c r="C51" s="8"/>
      <c r="D51" s="30"/>
      <c r="E51" s="30"/>
      <c r="F51" s="191" t="str">
        <f>IF(COUNTA(BPI[[#This Row],[Initiales du nom de l''enfant]:[au]])=3,(MONTH(BPI[[#This Row],[au]])-MONTH(BPI[[#This Row],[du]])+1)*100,"")</f>
        <v/>
      </c>
      <c r="H51" s="73" t="str">
        <f>IF(COUNTA(BPI[[#This Row],[Initiales du nom de l''enfant]:[au]])=0,"",IF(COUNTA(BPI[[#This Row],[Initiales du nom de l''enfant]:[au]])=3,"","&lt;-- Veuillez compléter tous les champs"))</f>
        <v/>
      </c>
    </row>
    <row r="52" spans="2:8" x14ac:dyDescent="0.25">
      <c r="B52" s="7">
        <v>38</v>
      </c>
      <c r="C52" s="8"/>
      <c r="D52" s="30"/>
      <c r="E52" s="30"/>
      <c r="F52" s="191" t="str">
        <f>IF(COUNTA(BPI[[#This Row],[Initiales du nom de l''enfant]:[au]])=3,(MONTH(BPI[[#This Row],[au]])-MONTH(BPI[[#This Row],[du]])+1)*100,"")</f>
        <v/>
      </c>
      <c r="H52" s="73" t="str">
        <f>IF(COUNTA(BPI[[#This Row],[Initiales du nom de l''enfant]:[au]])=0,"",IF(COUNTA(BPI[[#This Row],[Initiales du nom de l''enfant]:[au]])=3,"","&lt;-- Veuillez compléter tous les champs"))</f>
        <v/>
      </c>
    </row>
    <row r="53" spans="2:8" x14ac:dyDescent="0.25">
      <c r="B53" s="7">
        <v>39</v>
      </c>
      <c r="C53" s="8"/>
      <c r="D53" s="30"/>
      <c r="E53" s="30"/>
      <c r="F53" s="191" t="str">
        <f>IF(COUNTA(BPI[[#This Row],[Initiales du nom de l''enfant]:[au]])=3,(MONTH(BPI[[#This Row],[au]])-MONTH(BPI[[#This Row],[du]])+1)*100,"")</f>
        <v/>
      </c>
      <c r="H53" s="73" t="str">
        <f>IF(COUNTA(BPI[[#This Row],[Initiales du nom de l''enfant]:[au]])=0,"",IF(COUNTA(BPI[[#This Row],[Initiales du nom de l''enfant]:[au]])=3,"","&lt;-- Veuillez compléter tous les champs"))</f>
        <v/>
      </c>
    </row>
    <row r="54" spans="2:8" x14ac:dyDescent="0.25">
      <c r="B54" s="7">
        <v>40</v>
      </c>
      <c r="C54" s="8"/>
      <c r="D54" s="30"/>
      <c r="E54" s="30"/>
      <c r="F54" s="191" t="str">
        <f>IF(COUNTA(BPI[[#This Row],[Initiales du nom de l''enfant]:[au]])=3,(MONTH(BPI[[#This Row],[au]])-MONTH(BPI[[#This Row],[du]])+1)*100,"")</f>
        <v/>
      </c>
      <c r="H54" s="73" t="str">
        <f>IF(COUNTA(BPI[[#This Row],[Initiales du nom de l''enfant]:[au]])=0,"",IF(COUNTA(BPI[[#This Row],[Initiales du nom de l''enfant]:[au]])=3,"","&lt;-- Veuillez compléter tous les champs"))</f>
        <v/>
      </c>
    </row>
    <row r="55" spans="2:8" x14ac:dyDescent="0.25">
      <c r="B55" s="7">
        <v>41</v>
      </c>
      <c r="C55" s="8"/>
      <c r="D55" s="30"/>
      <c r="E55" s="30"/>
      <c r="F55" s="191" t="str">
        <f>IF(COUNTA(BPI[[#This Row],[Initiales du nom de l''enfant]:[au]])=3,(MONTH(BPI[[#This Row],[au]])-MONTH(BPI[[#This Row],[du]])+1)*100,"")</f>
        <v/>
      </c>
      <c r="H55" s="73" t="str">
        <f>IF(COUNTA(BPI[[#This Row],[Initiales du nom de l''enfant]:[au]])=0,"",IF(COUNTA(BPI[[#This Row],[Initiales du nom de l''enfant]:[au]])=3,"","&lt;-- Veuillez compléter tous les champs"))</f>
        <v/>
      </c>
    </row>
    <row r="56" spans="2:8" x14ac:dyDescent="0.25">
      <c r="B56" s="7">
        <v>42</v>
      </c>
      <c r="C56" s="8"/>
      <c r="D56" s="30"/>
      <c r="E56" s="30"/>
      <c r="F56" s="191" t="str">
        <f>IF(COUNTA(BPI[[#This Row],[Initiales du nom de l''enfant]:[au]])=3,(MONTH(BPI[[#This Row],[au]])-MONTH(BPI[[#This Row],[du]])+1)*100,"")</f>
        <v/>
      </c>
      <c r="H56" s="73" t="str">
        <f>IF(COUNTA(BPI[[#This Row],[Initiales du nom de l''enfant]:[au]])=0,"",IF(COUNTA(BPI[[#This Row],[Initiales du nom de l''enfant]:[au]])=3,"","&lt;-- Veuillez compléter tous les champs"))</f>
        <v/>
      </c>
    </row>
    <row r="57" spans="2:8" x14ac:dyDescent="0.25">
      <c r="B57" s="7">
        <v>43</v>
      </c>
      <c r="C57" s="8"/>
      <c r="D57" s="30"/>
      <c r="E57" s="30"/>
      <c r="F57" s="191" t="str">
        <f>IF(COUNTA(BPI[[#This Row],[Initiales du nom de l''enfant]:[au]])=3,(MONTH(BPI[[#This Row],[au]])-MONTH(BPI[[#This Row],[du]])+1)*100,"")</f>
        <v/>
      </c>
      <c r="H57" s="73" t="str">
        <f>IF(COUNTA(BPI[[#This Row],[Initiales du nom de l''enfant]:[au]])=0,"",IF(COUNTA(BPI[[#This Row],[Initiales du nom de l''enfant]:[au]])=3,"","&lt;-- Veuillez compléter tous les champs"))</f>
        <v/>
      </c>
    </row>
    <row r="58" spans="2:8" x14ac:dyDescent="0.25">
      <c r="B58" s="7">
        <v>44</v>
      </c>
      <c r="C58" s="8"/>
      <c r="D58" s="30"/>
      <c r="E58" s="30"/>
      <c r="F58" s="191" t="str">
        <f>IF(COUNTA(BPI[[#This Row],[Initiales du nom de l''enfant]:[au]])=3,(MONTH(BPI[[#This Row],[au]])-MONTH(BPI[[#This Row],[du]])+1)*100,"")</f>
        <v/>
      </c>
      <c r="H58" s="73" t="str">
        <f>IF(COUNTA(BPI[[#This Row],[Initiales du nom de l''enfant]:[au]])=0,"",IF(COUNTA(BPI[[#This Row],[Initiales du nom de l''enfant]:[au]])=3,"","&lt;-- Veuillez compléter tous les champs"))</f>
        <v/>
      </c>
    </row>
    <row r="59" spans="2:8" x14ac:dyDescent="0.25">
      <c r="B59" s="7">
        <v>45</v>
      </c>
      <c r="C59" s="8"/>
      <c r="D59" s="30"/>
      <c r="E59" s="30"/>
      <c r="F59" s="191" t="str">
        <f>IF(COUNTA(BPI[[#This Row],[Initiales du nom de l''enfant]:[au]])=3,(MONTH(BPI[[#This Row],[au]])-MONTH(BPI[[#This Row],[du]])+1)*100,"")</f>
        <v/>
      </c>
      <c r="H59" s="73" t="str">
        <f>IF(COUNTA(BPI[[#This Row],[Initiales du nom de l''enfant]:[au]])=0,"",IF(COUNTA(BPI[[#This Row],[Initiales du nom de l''enfant]:[au]])=3,"","&lt;-- Veuillez compléter tous les champs"))</f>
        <v/>
      </c>
    </row>
    <row r="60" spans="2:8" x14ac:dyDescent="0.25">
      <c r="B60" s="7">
        <v>46</v>
      </c>
      <c r="C60" s="8"/>
      <c r="D60" s="30"/>
      <c r="E60" s="30"/>
      <c r="F60" s="191" t="str">
        <f>IF(COUNTA(BPI[[#This Row],[Initiales du nom de l''enfant]:[au]])=3,(MONTH(BPI[[#This Row],[au]])-MONTH(BPI[[#This Row],[du]])+1)*100,"")</f>
        <v/>
      </c>
      <c r="H60" s="73" t="str">
        <f>IF(COUNTA(BPI[[#This Row],[Initiales du nom de l''enfant]:[au]])=0,"",IF(COUNTA(BPI[[#This Row],[Initiales du nom de l''enfant]:[au]])=3,"","&lt;-- Veuillez compléter tous les champs"))</f>
        <v/>
      </c>
    </row>
    <row r="61" spans="2:8" x14ac:dyDescent="0.25">
      <c r="B61" s="7">
        <v>47</v>
      </c>
      <c r="C61" s="8"/>
      <c r="D61" s="30"/>
      <c r="E61" s="30"/>
      <c r="F61" s="191" t="str">
        <f>IF(COUNTA(BPI[[#This Row],[Initiales du nom de l''enfant]:[au]])=3,(MONTH(BPI[[#This Row],[au]])-MONTH(BPI[[#This Row],[du]])+1)*100,"")</f>
        <v/>
      </c>
      <c r="H61" s="73" t="str">
        <f>IF(COUNTA(BPI[[#This Row],[Initiales du nom de l''enfant]:[au]])=0,"",IF(COUNTA(BPI[[#This Row],[Initiales du nom de l''enfant]:[au]])=3,"","&lt;-- Veuillez compléter tous les champs"))</f>
        <v/>
      </c>
    </row>
    <row r="62" spans="2:8" x14ac:dyDescent="0.25">
      <c r="B62" s="7">
        <v>48</v>
      </c>
      <c r="C62" s="8"/>
      <c r="D62" s="30"/>
      <c r="E62" s="30"/>
      <c r="F62" s="191" t="str">
        <f>IF(COUNTA(BPI[[#This Row],[Initiales du nom de l''enfant]:[au]])=3,(MONTH(BPI[[#This Row],[au]])-MONTH(BPI[[#This Row],[du]])+1)*100,"")</f>
        <v/>
      </c>
      <c r="H62" s="73" t="str">
        <f>IF(COUNTA(BPI[[#This Row],[Initiales du nom de l''enfant]:[au]])=0,"",IF(COUNTA(BPI[[#This Row],[Initiales du nom de l''enfant]:[au]])=3,"","&lt;-- Veuillez compléter tous les champs"))</f>
        <v/>
      </c>
    </row>
    <row r="63" spans="2:8" x14ac:dyDescent="0.25">
      <c r="B63" s="7">
        <v>49</v>
      </c>
      <c r="C63" s="8"/>
      <c r="D63" s="30"/>
      <c r="E63" s="30"/>
      <c r="F63" s="191" t="str">
        <f>IF(COUNTA(BPI[[#This Row],[Initiales du nom de l''enfant]:[au]])=3,(MONTH(BPI[[#This Row],[au]])-MONTH(BPI[[#This Row],[du]])+1)*100,"")</f>
        <v/>
      </c>
      <c r="H63" s="73" t="str">
        <f>IF(COUNTA(BPI[[#This Row],[Initiales du nom de l''enfant]:[au]])=0,"",IF(COUNTA(BPI[[#This Row],[Initiales du nom de l''enfant]:[au]])=3,"","&lt;-- Veuillez compléter tous les champs"))</f>
        <v/>
      </c>
    </row>
    <row r="64" spans="2:8" x14ac:dyDescent="0.25">
      <c r="B64" s="7">
        <v>50</v>
      </c>
      <c r="C64" s="8"/>
      <c r="D64" s="30"/>
      <c r="E64" s="30"/>
      <c r="F64" s="191" t="str">
        <f>IF(COUNTA(BPI[[#This Row],[Initiales du nom de l''enfant]:[au]])=3,(MONTH(BPI[[#This Row],[au]])-MONTH(BPI[[#This Row],[du]])+1)*100,"")</f>
        <v/>
      </c>
      <c r="H64" s="73" t="str">
        <f>IF(COUNTA(BPI[[#This Row],[Initiales du nom de l''enfant]:[au]])=0,"",IF(COUNTA(BPI[[#This Row],[Initiales du nom de l''enfant]:[au]])=3,"","&lt;-- Veuillez compléter tous les champs"))</f>
        <v/>
      </c>
    </row>
    <row r="65" spans="2:6" x14ac:dyDescent="0.25">
      <c r="B65" s="7" t="s">
        <v>33</v>
      </c>
      <c r="C65" s="7">
        <f>SUBTOTAL(103,BPI[Initiales du nom de l''enfant])</f>
        <v>0</v>
      </c>
      <c r="D65" s="29"/>
      <c r="E65" s="29"/>
      <c r="F65" s="27">
        <f>SUBTOTAL(109,BPI[Aide étatique])</f>
        <v>0</v>
      </c>
    </row>
  </sheetData>
  <sheetProtection algorithmName="SHA-512" hashValue="pXFMiDN7bA7MkK7jjNjoxVhI5ue83Ea2iA6bg96IudSqpW8ziiqLOlLqGwFUS3R5E9zgAAwCcFi7RP7ji9lWLQ==" saltValue="9PRXlBvcn+gTRkQlXwJ5rw==" spinCount="100000" sheet="1" selectLockedCells="1" autoFilter="0"/>
  <pageMargins left="0.70866141732283472" right="0.70866141732283472" top="0.74803149606299213" bottom="0.74803149606299213" header="0.31496062992125984" footer="0.31496062992125984"/>
  <pageSetup paperSize="9" scale="77" fitToHeight="0" orientation="portrait" r:id="rId1"/>
  <headerFooter>
    <oddHeader>&amp;C&amp;A</oddHeader>
    <oddFooter>&amp;R&amp;P/&amp;N</oddFooter>
  </headerFooter>
  <drawing r:id="rId2"/>
  <tableParts count="1">
    <tablePart r:id="rId3"/>
  </tableParts>
  <extLst>
    <ext xmlns:x14="http://schemas.microsoft.com/office/spreadsheetml/2009/9/main" uri="{CCE6A557-97BC-4b89-ADB6-D9C93CAAB3DF}">
      <x14:dataValidations xmlns:xm="http://schemas.microsoft.com/office/excel/2006/main" count="1">
        <x14:dataValidation type="date" allowBlank="1" showInputMessage="1" showErrorMessage="1" xr:uid="{00000000-0002-0000-0300-000000000000}">
          <x14:formula1>
            <xm:f>DATE('Informations générales 1'!C10,1,1)</xm:f>
          </x14:formula1>
          <x14:formula2>
            <xm:f>DATE('Informations générales 1'!C10,12,31)</xm:f>
          </x14:formula2>
          <xm:sqref>D15:E64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00B0F0"/>
    <pageSetUpPr fitToPage="1"/>
  </sheetPr>
  <dimension ref="B1:L109"/>
  <sheetViews>
    <sheetView workbookViewId="0">
      <selection activeCell="D11" sqref="D11"/>
    </sheetView>
  </sheetViews>
  <sheetFormatPr defaultColWidth="9.140625" defaultRowHeight="15" x14ac:dyDescent="0.25"/>
  <cols>
    <col min="1" max="2" width="9.140625" style="2"/>
    <col min="3" max="3" width="21.85546875" style="2" customWidth="1"/>
    <col min="4" max="5" width="21.42578125" style="2" customWidth="1"/>
    <col min="6" max="6" width="13" style="2" customWidth="1"/>
    <col min="7" max="7" width="19.85546875" style="2" customWidth="1"/>
    <col min="8" max="8" width="18.7109375" style="2" bestFit="1" customWidth="1"/>
    <col min="9" max="16384" width="9.140625" style="2"/>
  </cols>
  <sheetData>
    <row r="1" spans="2:10" x14ac:dyDescent="0.25">
      <c r="B1" s="11" t="str">
        <f>'Informations générales 1'!B7</f>
        <v>DECOMPTE ANNUEL</v>
      </c>
    </row>
    <row r="2" spans="2:10" x14ac:dyDescent="0.25">
      <c r="B2" s="11" t="str">
        <f>'Informations générales 1'!C20&amp;" - "&amp;'Informations générales 1'!C24</f>
        <v>Nom Gestionnaire - Nom SEA</v>
      </c>
    </row>
    <row r="3" spans="2:10" x14ac:dyDescent="0.25">
      <c r="B3" s="20">
        <f>'Informations générales 1'!C10</f>
        <v>2020</v>
      </c>
    </row>
    <row r="5" spans="2:10" x14ac:dyDescent="0.25">
      <c r="B5" s="11" t="s">
        <v>93</v>
      </c>
    </row>
    <row r="6" spans="2:10" x14ac:dyDescent="0.25">
      <c r="B6" s="11"/>
    </row>
    <row r="7" spans="2:10" x14ac:dyDescent="0.25">
      <c r="F7" s="72" t="s">
        <v>337</v>
      </c>
      <c r="G7" s="42">
        <f>EBS[[#Totals],[hrs/sem 
accordées]]</f>
        <v>0</v>
      </c>
      <c r="H7" s="42">
        <f>EBS[[#Totals],[heures annuelles]]</f>
        <v>0</v>
      </c>
    </row>
    <row r="8" spans="2:10" ht="30" x14ac:dyDescent="0.25">
      <c r="B8" s="36" t="s">
        <v>21</v>
      </c>
      <c r="C8" s="36" t="s">
        <v>91</v>
      </c>
      <c r="D8" s="6" t="s">
        <v>422</v>
      </c>
      <c r="E8" s="36" t="s">
        <v>88</v>
      </c>
      <c r="F8" s="36" t="s">
        <v>89</v>
      </c>
      <c r="G8" s="6" t="s">
        <v>92</v>
      </c>
      <c r="H8" s="36" t="s">
        <v>72</v>
      </c>
    </row>
    <row r="9" spans="2:10" x14ac:dyDescent="0.25">
      <c r="B9" s="7">
        <v>1</v>
      </c>
      <c r="C9" s="8"/>
      <c r="D9" s="8"/>
      <c r="E9" s="10"/>
      <c r="F9" s="10"/>
      <c r="G9" s="8"/>
      <c r="H9" s="190" t="str">
        <f>IF(COUNTA(EBS[[#This Row],[Initiales]:[hrs/sem 
accordées]])=5,(WEEKNUM(EBS[[#This Row],[au]])-WEEKNUM(EBS[[#This Row],[du]]))*EBS[[#This Row],[hrs/sem 
accordées]],"")</f>
        <v/>
      </c>
      <c r="J9" s="73" t="str">
        <f>IF(COUNTA(EBS[[#This Row],[Initiales]:[hrs/sem 
accordées]])=0,"",IF(COUNTA(EBS[[#This Row],[Initiales]:[hrs/sem 
accordées]])=5,"","&lt;-- Veuillez compléter tous les champs"))</f>
        <v/>
      </c>
    </row>
    <row r="10" spans="2:10" x14ac:dyDescent="0.25">
      <c r="B10" s="7">
        <v>2</v>
      </c>
      <c r="C10" s="8"/>
      <c r="D10" s="8"/>
      <c r="E10" s="10"/>
      <c r="F10" s="10"/>
      <c r="G10" s="8"/>
      <c r="H10" s="190" t="str">
        <f>IF(COUNTA(EBS[[#This Row],[Initiales]:[hrs/sem 
accordées]])=5,(WEEKNUM(EBS[[#This Row],[au]])-WEEKNUM(EBS[[#This Row],[du]]))*EBS[[#This Row],[hrs/sem 
accordées]],"")</f>
        <v/>
      </c>
      <c r="J10" s="73" t="str">
        <f>IF(COUNTA(EBS[[#This Row],[Initiales]:[hrs/sem 
accordées]])=0,"",IF(COUNTA(EBS[[#This Row],[Initiales]:[hrs/sem 
accordées]])=5,"","&lt;-- Veuillez compléter tous les champs"))</f>
        <v/>
      </c>
    </row>
    <row r="11" spans="2:10" x14ac:dyDescent="0.25">
      <c r="B11" s="7">
        <v>3</v>
      </c>
      <c r="C11" s="8"/>
      <c r="D11" s="8"/>
      <c r="E11" s="10"/>
      <c r="F11" s="10"/>
      <c r="G11" s="8"/>
      <c r="H11" s="190" t="str">
        <f>IF(COUNTA(EBS[[#This Row],[Initiales]:[hrs/sem 
accordées]])=5,(WEEKNUM(EBS[[#This Row],[au]])-WEEKNUM(EBS[[#This Row],[du]]))*EBS[[#This Row],[hrs/sem 
accordées]],"")</f>
        <v/>
      </c>
      <c r="J11" s="73" t="str">
        <f>IF(COUNTA(EBS[[#This Row],[Initiales]:[hrs/sem 
accordées]])=0,"",IF(COUNTA(EBS[[#This Row],[Initiales]:[hrs/sem 
accordées]])=5,"","&lt;-- Veuillez compléter tous les champs"))</f>
        <v/>
      </c>
    </row>
    <row r="12" spans="2:10" x14ac:dyDescent="0.25">
      <c r="B12" s="7">
        <v>4</v>
      </c>
      <c r="C12" s="8"/>
      <c r="D12" s="8"/>
      <c r="E12" s="10"/>
      <c r="F12" s="10"/>
      <c r="G12" s="8"/>
      <c r="H12" s="190" t="str">
        <f>IF(COUNTA(EBS[[#This Row],[Initiales]:[hrs/sem 
accordées]])=5,(WEEKNUM(EBS[[#This Row],[au]])-WEEKNUM(EBS[[#This Row],[du]]))*EBS[[#This Row],[hrs/sem 
accordées]],"")</f>
        <v/>
      </c>
      <c r="J12" s="73" t="str">
        <f>IF(COUNTA(EBS[[#This Row],[Initiales]:[hrs/sem 
accordées]])=0,"",IF(COUNTA(EBS[[#This Row],[Initiales]:[hrs/sem 
accordées]])=5,"","&lt;-- Veuillez compléter tous les champs"))</f>
        <v/>
      </c>
    </row>
    <row r="13" spans="2:10" x14ac:dyDescent="0.25">
      <c r="B13" s="7">
        <v>5</v>
      </c>
      <c r="C13" s="8"/>
      <c r="D13" s="8"/>
      <c r="E13" s="10"/>
      <c r="F13" s="10"/>
      <c r="G13" s="8"/>
      <c r="H13" s="190" t="str">
        <f>IF(COUNTA(EBS[[#This Row],[Initiales]:[hrs/sem 
accordées]])=5,(WEEKNUM(EBS[[#This Row],[au]])-WEEKNUM(EBS[[#This Row],[du]]))*EBS[[#This Row],[hrs/sem 
accordées]],"")</f>
        <v/>
      </c>
      <c r="J13" s="73" t="str">
        <f>IF(COUNTA(EBS[[#This Row],[Initiales]:[hrs/sem 
accordées]])=0,"",IF(COUNTA(EBS[[#This Row],[Initiales]:[hrs/sem 
accordées]])=5,"","&lt;-- Veuillez compléter tous les champs"))</f>
        <v/>
      </c>
    </row>
    <row r="14" spans="2:10" x14ac:dyDescent="0.25">
      <c r="B14" s="7">
        <v>6</v>
      </c>
      <c r="C14" s="8"/>
      <c r="D14" s="8"/>
      <c r="E14" s="10"/>
      <c r="F14" s="10"/>
      <c r="G14" s="8"/>
      <c r="H14" s="190" t="str">
        <f>IF(COUNTA(EBS[[#This Row],[Initiales]:[hrs/sem 
accordées]])=5,(WEEKNUM(EBS[[#This Row],[au]])-WEEKNUM(EBS[[#This Row],[du]]))*EBS[[#This Row],[hrs/sem 
accordées]],"")</f>
        <v/>
      </c>
      <c r="J14" s="73" t="str">
        <f>IF(COUNTA(EBS[[#This Row],[Initiales]:[hrs/sem 
accordées]])=0,"",IF(COUNTA(EBS[[#This Row],[Initiales]:[hrs/sem 
accordées]])=5,"","&lt;-- Veuillez compléter tous les champs"))</f>
        <v/>
      </c>
    </row>
    <row r="15" spans="2:10" x14ac:dyDescent="0.25">
      <c r="B15" s="7">
        <v>7</v>
      </c>
      <c r="C15" s="8"/>
      <c r="D15" s="8"/>
      <c r="E15" s="10"/>
      <c r="F15" s="10"/>
      <c r="G15" s="8"/>
      <c r="H15" s="190" t="str">
        <f>IF(COUNTA(EBS[[#This Row],[Initiales]:[hrs/sem 
accordées]])=5,(WEEKNUM(EBS[[#This Row],[au]])-WEEKNUM(EBS[[#This Row],[du]]))*EBS[[#This Row],[hrs/sem 
accordées]],"")</f>
        <v/>
      </c>
      <c r="J15" s="73" t="str">
        <f>IF(COUNTA(EBS[[#This Row],[Initiales]:[hrs/sem 
accordées]])=0,"",IF(COUNTA(EBS[[#This Row],[Initiales]:[hrs/sem 
accordées]])=5,"","&lt;-- Veuillez compléter tous les champs"))</f>
        <v/>
      </c>
    </row>
    <row r="16" spans="2:10" x14ac:dyDescent="0.25">
      <c r="B16" s="7">
        <v>8</v>
      </c>
      <c r="C16" s="8"/>
      <c r="D16" s="8"/>
      <c r="E16" s="10"/>
      <c r="F16" s="10"/>
      <c r="G16" s="8"/>
      <c r="H16" s="190" t="str">
        <f>IF(COUNTA(EBS[[#This Row],[Initiales]:[hrs/sem 
accordées]])=5,(WEEKNUM(EBS[[#This Row],[au]])-WEEKNUM(EBS[[#This Row],[du]]))*EBS[[#This Row],[hrs/sem 
accordées]],"")</f>
        <v/>
      </c>
      <c r="J16" s="73" t="str">
        <f>IF(COUNTA(EBS[[#This Row],[Initiales]:[hrs/sem 
accordées]])=0,"",IF(COUNTA(EBS[[#This Row],[Initiales]:[hrs/sem 
accordées]])=5,"","&lt;-- Veuillez compléter tous les champs"))</f>
        <v/>
      </c>
    </row>
    <row r="17" spans="2:12" x14ac:dyDescent="0.25">
      <c r="B17" s="7">
        <v>9</v>
      </c>
      <c r="C17" s="8"/>
      <c r="D17" s="8"/>
      <c r="E17" s="10"/>
      <c r="F17" s="10"/>
      <c r="G17" s="8"/>
      <c r="H17" s="190" t="str">
        <f>IF(COUNTA(EBS[[#This Row],[Initiales]:[hrs/sem 
accordées]])=5,(WEEKNUM(EBS[[#This Row],[au]])-WEEKNUM(EBS[[#This Row],[du]]))*EBS[[#This Row],[hrs/sem 
accordées]],"")</f>
        <v/>
      </c>
      <c r="J17" s="73" t="str">
        <f>IF(COUNTA(EBS[[#This Row],[Initiales]:[hrs/sem 
accordées]])=0,"",IF(COUNTA(EBS[[#This Row],[Initiales]:[hrs/sem 
accordées]])=5,"","&lt;-- Veuillez compléter tous les champs"))</f>
        <v/>
      </c>
      <c r="L17" s="563"/>
    </row>
    <row r="18" spans="2:12" x14ac:dyDescent="0.25">
      <c r="B18" s="7">
        <v>10</v>
      </c>
      <c r="C18" s="8"/>
      <c r="D18" s="8"/>
      <c r="E18" s="10"/>
      <c r="F18" s="10"/>
      <c r="G18" s="8"/>
      <c r="H18" s="190" t="str">
        <f>IF(COUNTA(EBS[[#This Row],[Initiales]:[hrs/sem 
accordées]])=5,(WEEKNUM(EBS[[#This Row],[au]])-WEEKNUM(EBS[[#This Row],[du]]))*EBS[[#This Row],[hrs/sem 
accordées]],"")</f>
        <v/>
      </c>
      <c r="J18" s="73" t="str">
        <f>IF(COUNTA(EBS[[#This Row],[Initiales]:[hrs/sem 
accordées]])=0,"",IF(COUNTA(EBS[[#This Row],[Initiales]:[hrs/sem 
accordées]])=5,"","&lt;-- Veuillez compléter tous les champs"))</f>
        <v/>
      </c>
    </row>
    <row r="19" spans="2:12" x14ac:dyDescent="0.25">
      <c r="B19" s="7">
        <v>11</v>
      </c>
      <c r="C19" s="8"/>
      <c r="D19" s="8"/>
      <c r="E19" s="10"/>
      <c r="F19" s="10"/>
      <c r="G19" s="8"/>
      <c r="H19" s="190" t="str">
        <f>IF(COUNTA(EBS[[#This Row],[Initiales]:[hrs/sem 
accordées]])=5,(WEEKNUM(EBS[[#This Row],[au]])-WEEKNUM(EBS[[#This Row],[du]]))*EBS[[#This Row],[hrs/sem 
accordées]],"")</f>
        <v/>
      </c>
      <c r="J19" s="73" t="str">
        <f>IF(COUNTA(EBS[[#This Row],[Initiales]:[hrs/sem 
accordées]])=0,"",IF(COUNTA(EBS[[#This Row],[Initiales]:[hrs/sem 
accordées]])=5,"","&lt;-- Veuillez compléter tous les champs"))</f>
        <v/>
      </c>
    </row>
    <row r="20" spans="2:12" x14ac:dyDescent="0.25">
      <c r="B20" s="7">
        <v>12</v>
      </c>
      <c r="C20" s="8"/>
      <c r="D20" s="8"/>
      <c r="E20" s="10"/>
      <c r="F20" s="10"/>
      <c r="G20" s="8"/>
      <c r="H20" s="190" t="str">
        <f>IF(COUNTA(EBS[[#This Row],[Initiales]:[hrs/sem 
accordées]])=5,(WEEKNUM(EBS[[#This Row],[au]])-WEEKNUM(EBS[[#This Row],[du]]))*EBS[[#This Row],[hrs/sem 
accordées]],"")</f>
        <v/>
      </c>
      <c r="J20" s="73" t="str">
        <f>IF(COUNTA(EBS[[#This Row],[Initiales]:[hrs/sem 
accordées]])=0,"",IF(COUNTA(EBS[[#This Row],[Initiales]:[hrs/sem 
accordées]])=5,"","&lt;-- Veuillez compléter tous les champs"))</f>
        <v/>
      </c>
    </row>
    <row r="21" spans="2:12" x14ac:dyDescent="0.25">
      <c r="B21" s="7">
        <v>13</v>
      </c>
      <c r="C21" s="8"/>
      <c r="D21" s="8"/>
      <c r="E21" s="10"/>
      <c r="F21" s="10"/>
      <c r="G21" s="8"/>
      <c r="H21" s="190" t="str">
        <f>IF(COUNTA(EBS[[#This Row],[Initiales]:[hrs/sem 
accordées]])=5,(WEEKNUM(EBS[[#This Row],[au]])-WEEKNUM(EBS[[#This Row],[du]]))*EBS[[#This Row],[hrs/sem 
accordées]],"")</f>
        <v/>
      </c>
      <c r="J21" s="73" t="str">
        <f>IF(COUNTA(EBS[[#This Row],[Initiales]:[hrs/sem 
accordées]])=0,"",IF(COUNTA(EBS[[#This Row],[Initiales]:[hrs/sem 
accordées]])=5,"","&lt;-- Veuillez compléter tous les champs"))</f>
        <v/>
      </c>
    </row>
    <row r="22" spans="2:12" x14ac:dyDescent="0.25">
      <c r="B22" s="7">
        <v>14</v>
      </c>
      <c r="C22" s="8"/>
      <c r="D22" s="8"/>
      <c r="E22" s="10"/>
      <c r="F22" s="10"/>
      <c r="G22" s="8"/>
      <c r="H22" s="190" t="str">
        <f>IF(COUNTA(EBS[[#This Row],[Initiales]:[hrs/sem 
accordées]])=5,(WEEKNUM(EBS[[#This Row],[au]])-WEEKNUM(EBS[[#This Row],[du]]))*EBS[[#This Row],[hrs/sem 
accordées]],"")</f>
        <v/>
      </c>
      <c r="J22" s="73" t="str">
        <f>IF(COUNTA(EBS[[#This Row],[Initiales]:[hrs/sem 
accordées]])=0,"",IF(COUNTA(EBS[[#This Row],[Initiales]:[hrs/sem 
accordées]])=5,"","&lt;-- Veuillez compléter tous les champs"))</f>
        <v/>
      </c>
    </row>
    <row r="23" spans="2:12" x14ac:dyDescent="0.25">
      <c r="B23" s="7">
        <v>15</v>
      </c>
      <c r="C23" s="8"/>
      <c r="D23" s="8"/>
      <c r="E23" s="10"/>
      <c r="F23" s="10"/>
      <c r="G23" s="8"/>
      <c r="H23" s="190" t="str">
        <f>IF(COUNTA(EBS[[#This Row],[Initiales]:[hrs/sem 
accordées]])=5,(WEEKNUM(EBS[[#This Row],[au]])-WEEKNUM(EBS[[#This Row],[du]]))*EBS[[#This Row],[hrs/sem 
accordées]],"")</f>
        <v/>
      </c>
      <c r="J23" s="73" t="str">
        <f>IF(COUNTA(EBS[[#This Row],[Initiales]:[hrs/sem 
accordées]])=0,"",IF(COUNTA(EBS[[#This Row],[Initiales]:[hrs/sem 
accordées]])=5,"","&lt;-- Veuillez compléter tous les champs"))</f>
        <v/>
      </c>
    </row>
    <row r="24" spans="2:12" x14ac:dyDescent="0.25">
      <c r="B24" s="7">
        <v>16</v>
      </c>
      <c r="C24" s="8"/>
      <c r="D24" s="8"/>
      <c r="E24" s="10"/>
      <c r="F24" s="10"/>
      <c r="G24" s="8"/>
      <c r="H24" s="190" t="str">
        <f>IF(COUNTA(EBS[[#This Row],[Initiales]:[hrs/sem 
accordées]])=5,(WEEKNUM(EBS[[#This Row],[au]])-WEEKNUM(EBS[[#This Row],[du]]))*EBS[[#This Row],[hrs/sem 
accordées]],"")</f>
        <v/>
      </c>
      <c r="J24" s="73" t="str">
        <f>IF(COUNTA(EBS[[#This Row],[Initiales]:[hrs/sem 
accordées]])=0,"",IF(COUNTA(EBS[[#This Row],[Initiales]:[hrs/sem 
accordées]])=5,"","&lt;-- Veuillez compléter tous les champs"))</f>
        <v/>
      </c>
    </row>
    <row r="25" spans="2:12" x14ac:dyDescent="0.25">
      <c r="B25" s="7">
        <v>17</v>
      </c>
      <c r="C25" s="8"/>
      <c r="D25" s="8"/>
      <c r="E25" s="10"/>
      <c r="F25" s="10"/>
      <c r="G25" s="8"/>
      <c r="H25" s="190" t="str">
        <f>IF(COUNTA(EBS[[#This Row],[Initiales]:[hrs/sem 
accordées]])=5,(WEEKNUM(EBS[[#This Row],[au]])-WEEKNUM(EBS[[#This Row],[du]]))*EBS[[#This Row],[hrs/sem 
accordées]],"")</f>
        <v/>
      </c>
      <c r="J25" s="73" t="str">
        <f>IF(COUNTA(EBS[[#This Row],[Initiales]:[hrs/sem 
accordées]])=0,"",IF(COUNTA(EBS[[#This Row],[Initiales]:[hrs/sem 
accordées]])=5,"","&lt;-- Veuillez compléter tous les champs"))</f>
        <v/>
      </c>
    </row>
    <row r="26" spans="2:12" x14ac:dyDescent="0.25">
      <c r="B26" s="7">
        <v>18</v>
      </c>
      <c r="C26" s="8"/>
      <c r="D26" s="8"/>
      <c r="E26" s="10"/>
      <c r="F26" s="10"/>
      <c r="G26" s="8"/>
      <c r="H26" s="190" t="str">
        <f>IF(COUNTA(EBS[[#This Row],[Initiales]:[hrs/sem 
accordées]])=5,(WEEKNUM(EBS[[#This Row],[au]])-WEEKNUM(EBS[[#This Row],[du]]))*EBS[[#This Row],[hrs/sem 
accordées]],"")</f>
        <v/>
      </c>
      <c r="J26" s="73" t="str">
        <f>IF(COUNTA(EBS[[#This Row],[Initiales]:[hrs/sem 
accordées]])=0,"",IF(COUNTA(EBS[[#This Row],[Initiales]:[hrs/sem 
accordées]])=5,"","&lt;-- Veuillez compléter tous les champs"))</f>
        <v/>
      </c>
    </row>
    <row r="27" spans="2:12" x14ac:dyDescent="0.25">
      <c r="B27" s="7">
        <v>19</v>
      </c>
      <c r="C27" s="8"/>
      <c r="D27" s="8"/>
      <c r="E27" s="10"/>
      <c r="F27" s="10"/>
      <c r="G27" s="8"/>
      <c r="H27" s="190" t="str">
        <f>IF(COUNTA(EBS[[#This Row],[Initiales]:[hrs/sem 
accordées]])=5,(WEEKNUM(EBS[[#This Row],[au]])-WEEKNUM(EBS[[#This Row],[du]]))*EBS[[#This Row],[hrs/sem 
accordées]],"")</f>
        <v/>
      </c>
      <c r="J27" s="73" t="str">
        <f>IF(COUNTA(EBS[[#This Row],[Initiales]:[hrs/sem 
accordées]])=0,"",IF(COUNTA(EBS[[#This Row],[Initiales]:[hrs/sem 
accordées]])=5,"","&lt;-- Veuillez compléter tous les champs"))</f>
        <v/>
      </c>
    </row>
    <row r="28" spans="2:12" x14ac:dyDescent="0.25">
      <c r="B28" s="7">
        <v>20</v>
      </c>
      <c r="C28" s="8"/>
      <c r="D28" s="8"/>
      <c r="E28" s="10"/>
      <c r="F28" s="10"/>
      <c r="G28" s="8"/>
      <c r="H28" s="190" t="str">
        <f>IF(COUNTA(EBS[[#This Row],[Initiales]:[hrs/sem 
accordées]])=5,(WEEKNUM(EBS[[#This Row],[au]])-WEEKNUM(EBS[[#This Row],[du]]))*EBS[[#This Row],[hrs/sem 
accordées]],"")</f>
        <v/>
      </c>
      <c r="J28" s="73" t="str">
        <f>IF(COUNTA(EBS[[#This Row],[Initiales]:[hrs/sem 
accordées]])=0,"",IF(COUNTA(EBS[[#This Row],[Initiales]:[hrs/sem 
accordées]])=5,"","&lt;-- Veuillez compléter tous les champs"))</f>
        <v/>
      </c>
    </row>
    <row r="29" spans="2:12" x14ac:dyDescent="0.25">
      <c r="B29" s="7">
        <v>21</v>
      </c>
      <c r="C29" s="8"/>
      <c r="D29" s="8"/>
      <c r="E29" s="10"/>
      <c r="F29" s="10"/>
      <c r="G29" s="8"/>
      <c r="H29" s="190" t="str">
        <f>IF(COUNTA(EBS[[#This Row],[Initiales]:[hrs/sem 
accordées]])=5,(WEEKNUM(EBS[[#This Row],[au]])-WEEKNUM(EBS[[#This Row],[du]]))*EBS[[#This Row],[hrs/sem 
accordées]],"")</f>
        <v/>
      </c>
      <c r="J29" s="73" t="str">
        <f>IF(COUNTA(EBS[[#This Row],[Initiales]:[hrs/sem 
accordées]])=0,"",IF(COUNTA(EBS[[#This Row],[Initiales]:[hrs/sem 
accordées]])=5,"","&lt;-- Veuillez compléter tous les champs"))</f>
        <v/>
      </c>
    </row>
    <row r="30" spans="2:12" x14ac:dyDescent="0.25">
      <c r="B30" s="7">
        <v>22</v>
      </c>
      <c r="C30" s="8"/>
      <c r="D30" s="8"/>
      <c r="E30" s="10"/>
      <c r="F30" s="10"/>
      <c r="G30" s="8"/>
      <c r="H30" s="190" t="str">
        <f>IF(COUNTA(EBS[[#This Row],[Initiales]:[hrs/sem 
accordées]])=5,(WEEKNUM(EBS[[#This Row],[au]])-WEEKNUM(EBS[[#This Row],[du]]))*EBS[[#This Row],[hrs/sem 
accordées]],"")</f>
        <v/>
      </c>
      <c r="J30" s="73" t="str">
        <f>IF(COUNTA(EBS[[#This Row],[Initiales]:[hrs/sem 
accordées]])=0,"",IF(COUNTA(EBS[[#This Row],[Initiales]:[hrs/sem 
accordées]])=5,"","&lt;-- Veuillez compléter tous les champs"))</f>
        <v/>
      </c>
    </row>
    <row r="31" spans="2:12" x14ac:dyDescent="0.25">
      <c r="B31" s="7">
        <v>23</v>
      </c>
      <c r="C31" s="8"/>
      <c r="D31" s="8"/>
      <c r="E31" s="10"/>
      <c r="F31" s="10"/>
      <c r="G31" s="8"/>
      <c r="H31" s="190" t="str">
        <f>IF(COUNTA(EBS[[#This Row],[Initiales]:[hrs/sem 
accordées]])=5,(WEEKNUM(EBS[[#This Row],[au]])-WEEKNUM(EBS[[#This Row],[du]]))*EBS[[#This Row],[hrs/sem 
accordées]],"")</f>
        <v/>
      </c>
      <c r="J31" s="73" t="str">
        <f>IF(COUNTA(EBS[[#This Row],[Initiales]:[hrs/sem 
accordées]])=0,"",IF(COUNTA(EBS[[#This Row],[Initiales]:[hrs/sem 
accordées]])=5,"","&lt;-- Veuillez compléter tous les champs"))</f>
        <v/>
      </c>
    </row>
    <row r="32" spans="2:12" x14ac:dyDescent="0.25">
      <c r="B32" s="7">
        <v>24</v>
      </c>
      <c r="C32" s="8"/>
      <c r="D32" s="8"/>
      <c r="E32" s="10"/>
      <c r="F32" s="10"/>
      <c r="G32" s="8"/>
      <c r="H32" s="190" t="str">
        <f>IF(COUNTA(EBS[[#This Row],[Initiales]:[hrs/sem 
accordées]])=5,(WEEKNUM(EBS[[#This Row],[au]])-WEEKNUM(EBS[[#This Row],[du]]))*EBS[[#This Row],[hrs/sem 
accordées]],"")</f>
        <v/>
      </c>
      <c r="J32" s="73" t="str">
        <f>IF(COUNTA(EBS[[#This Row],[Initiales]:[hrs/sem 
accordées]])=0,"",IF(COUNTA(EBS[[#This Row],[Initiales]:[hrs/sem 
accordées]])=5,"","&lt;-- Veuillez compléter tous les champs"))</f>
        <v/>
      </c>
    </row>
    <row r="33" spans="2:10" x14ac:dyDescent="0.25">
      <c r="B33" s="7">
        <v>25</v>
      </c>
      <c r="C33" s="8"/>
      <c r="D33" s="8"/>
      <c r="E33" s="10"/>
      <c r="F33" s="10"/>
      <c r="G33" s="8"/>
      <c r="H33" s="190" t="str">
        <f>IF(COUNTA(EBS[[#This Row],[Initiales]:[hrs/sem 
accordées]])=5,(WEEKNUM(EBS[[#This Row],[au]])-WEEKNUM(EBS[[#This Row],[du]]))*EBS[[#This Row],[hrs/sem 
accordées]],"")</f>
        <v/>
      </c>
      <c r="J33" s="73" t="str">
        <f>IF(COUNTA(EBS[[#This Row],[Initiales]:[hrs/sem 
accordées]])=0,"",IF(COUNTA(EBS[[#This Row],[Initiales]:[hrs/sem 
accordées]])=5,"","&lt;-- Veuillez compléter tous les champs"))</f>
        <v/>
      </c>
    </row>
    <row r="34" spans="2:10" x14ac:dyDescent="0.25">
      <c r="B34" s="7">
        <v>26</v>
      </c>
      <c r="C34" s="8"/>
      <c r="D34" s="8"/>
      <c r="E34" s="10"/>
      <c r="F34" s="10"/>
      <c r="G34" s="8"/>
      <c r="H34" s="190" t="str">
        <f>IF(COUNTA(EBS[[#This Row],[Initiales]:[hrs/sem 
accordées]])=5,(WEEKNUM(EBS[[#This Row],[au]])-WEEKNUM(EBS[[#This Row],[du]]))*EBS[[#This Row],[hrs/sem 
accordées]],"")</f>
        <v/>
      </c>
      <c r="J34" s="73" t="str">
        <f>IF(COUNTA(EBS[[#This Row],[Initiales]:[hrs/sem 
accordées]])=0,"",IF(COUNTA(EBS[[#This Row],[Initiales]:[hrs/sem 
accordées]])=5,"","&lt;-- Veuillez compléter tous les champs"))</f>
        <v/>
      </c>
    </row>
    <row r="35" spans="2:10" x14ac:dyDescent="0.25">
      <c r="B35" s="7">
        <v>27</v>
      </c>
      <c r="C35" s="8"/>
      <c r="D35" s="8"/>
      <c r="E35" s="10"/>
      <c r="F35" s="10"/>
      <c r="G35" s="8"/>
      <c r="H35" s="190" t="str">
        <f>IF(COUNTA(EBS[[#This Row],[Initiales]:[hrs/sem 
accordées]])=5,(WEEKNUM(EBS[[#This Row],[au]])-WEEKNUM(EBS[[#This Row],[du]]))*EBS[[#This Row],[hrs/sem 
accordées]],"")</f>
        <v/>
      </c>
      <c r="J35" s="73" t="str">
        <f>IF(COUNTA(EBS[[#This Row],[Initiales]:[hrs/sem 
accordées]])=0,"",IF(COUNTA(EBS[[#This Row],[Initiales]:[hrs/sem 
accordées]])=5,"","&lt;-- Veuillez compléter tous les champs"))</f>
        <v/>
      </c>
    </row>
    <row r="36" spans="2:10" x14ac:dyDescent="0.25">
      <c r="B36" s="7">
        <v>28</v>
      </c>
      <c r="C36" s="8"/>
      <c r="D36" s="8"/>
      <c r="E36" s="10"/>
      <c r="F36" s="10"/>
      <c r="G36" s="8"/>
      <c r="H36" s="190" t="str">
        <f>IF(COUNTA(EBS[[#This Row],[Initiales]:[hrs/sem 
accordées]])=5,(WEEKNUM(EBS[[#This Row],[au]])-WEEKNUM(EBS[[#This Row],[du]]))*EBS[[#This Row],[hrs/sem 
accordées]],"")</f>
        <v/>
      </c>
      <c r="J36" s="73" t="str">
        <f>IF(COUNTA(EBS[[#This Row],[Initiales]:[hrs/sem 
accordées]])=0,"",IF(COUNTA(EBS[[#This Row],[Initiales]:[hrs/sem 
accordées]])=5,"","&lt;-- Veuillez compléter tous les champs"))</f>
        <v/>
      </c>
    </row>
    <row r="37" spans="2:10" x14ac:dyDescent="0.25">
      <c r="B37" s="7">
        <v>29</v>
      </c>
      <c r="C37" s="8"/>
      <c r="D37" s="8"/>
      <c r="E37" s="10"/>
      <c r="F37" s="10"/>
      <c r="G37" s="8"/>
      <c r="H37" s="190" t="str">
        <f>IF(COUNTA(EBS[[#This Row],[Initiales]:[hrs/sem 
accordées]])=5,(WEEKNUM(EBS[[#This Row],[au]])-WEEKNUM(EBS[[#This Row],[du]]))*EBS[[#This Row],[hrs/sem 
accordées]],"")</f>
        <v/>
      </c>
      <c r="J37" s="73" t="str">
        <f>IF(COUNTA(EBS[[#This Row],[Initiales]:[hrs/sem 
accordées]])=0,"",IF(COUNTA(EBS[[#This Row],[Initiales]:[hrs/sem 
accordées]])=5,"","&lt;-- Veuillez compléter tous les champs"))</f>
        <v/>
      </c>
    </row>
    <row r="38" spans="2:10" x14ac:dyDescent="0.25">
      <c r="B38" s="7">
        <v>30</v>
      </c>
      <c r="C38" s="8"/>
      <c r="D38" s="8"/>
      <c r="E38" s="10"/>
      <c r="F38" s="10"/>
      <c r="G38" s="8"/>
      <c r="H38" s="190" t="str">
        <f>IF(COUNTA(EBS[[#This Row],[Initiales]:[hrs/sem 
accordées]])=5,(WEEKNUM(EBS[[#This Row],[au]])-WEEKNUM(EBS[[#This Row],[du]]))*EBS[[#This Row],[hrs/sem 
accordées]],"")</f>
        <v/>
      </c>
      <c r="J38" s="73" t="str">
        <f>IF(COUNTA(EBS[[#This Row],[Initiales]:[hrs/sem 
accordées]])=0,"",IF(COUNTA(EBS[[#This Row],[Initiales]:[hrs/sem 
accordées]])=5,"","&lt;-- Veuillez compléter tous les champs"))</f>
        <v/>
      </c>
    </row>
    <row r="39" spans="2:10" x14ac:dyDescent="0.25">
      <c r="B39" s="7">
        <v>31</v>
      </c>
      <c r="C39" s="8"/>
      <c r="D39" s="8"/>
      <c r="E39" s="10"/>
      <c r="F39" s="10"/>
      <c r="G39" s="8"/>
      <c r="H39" s="190" t="str">
        <f>IF(COUNTA(EBS[[#This Row],[Initiales]:[hrs/sem 
accordées]])=5,(WEEKNUM(EBS[[#This Row],[au]])-WEEKNUM(EBS[[#This Row],[du]]))*EBS[[#This Row],[hrs/sem 
accordées]],"")</f>
        <v/>
      </c>
      <c r="J39" s="73" t="str">
        <f>IF(COUNTA(EBS[[#This Row],[Initiales]:[hrs/sem 
accordées]])=0,"",IF(COUNTA(EBS[[#This Row],[Initiales]:[hrs/sem 
accordées]])=5,"","&lt;-- Veuillez compléter tous les champs"))</f>
        <v/>
      </c>
    </row>
    <row r="40" spans="2:10" x14ac:dyDescent="0.25">
      <c r="B40" s="7">
        <v>32</v>
      </c>
      <c r="C40" s="8"/>
      <c r="D40" s="8"/>
      <c r="E40" s="10"/>
      <c r="F40" s="10"/>
      <c r="G40" s="8"/>
      <c r="H40" s="190" t="str">
        <f>IF(COUNTA(EBS[[#This Row],[Initiales]:[hrs/sem 
accordées]])=5,(WEEKNUM(EBS[[#This Row],[au]])-WEEKNUM(EBS[[#This Row],[du]]))*EBS[[#This Row],[hrs/sem 
accordées]],"")</f>
        <v/>
      </c>
      <c r="J40" s="73" t="str">
        <f>IF(COUNTA(EBS[[#This Row],[Initiales]:[hrs/sem 
accordées]])=0,"",IF(COUNTA(EBS[[#This Row],[Initiales]:[hrs/sem 
accordées]])=5,"","&lt;-- Veuillez compléter tous les champs"))</f>
        <v/>
      </c>
    </row>
    <row r="41" spans="2:10" x14ac:dyDescent="0.25">
      <c r="B41" s="7">
        <v>33</v>
      </c>
      <c r="C41" s="8"/>
      <c r="D41" s="8"/>
      <c r="E41" s="10"/>
      <c r="F41" s="10"/>
      <c r="G41" s="8"/>
      <c r="H41" s="190" t="str">
        <f>IF(COUNTA(EBS[[#This Row],[Initiales]:[hrs/sem 
accordées]])=5,(WEEKNUM(EBS[[#This Row],[au]])-WEEKNUM(EBS[[#This Row],[du]]))*EBS[[#This Row],[hrs/sem 
accordées]],"")</f>
        <v/>
      </c>
      <c r="J41" s="73" t="str">
        <f>IF(COUNTA(EBS[[#This Row],[Initiales]:[hrs/sem 
accordées]])=0,"",IF(COUNTA(EBS[[#This Row],[Initiales]:[hrs/sem 
accordées]])=5,"","&lt;-- Veuillez compléter tous les champs"))</f>
        <v/>
      </c>
    </row>
    <row r="42" spans="2:10" x14ac:dyDescent="0.25">
      <c r="B42" s="7">
        <v>34</v>
      </c>
      <c r="C42" s="8"/>
      <c r="D42" s="8"/>
      <c r="E42" s="10"/>
      <c r="F42" s="10"/>
      <c r="G42" s="8"/>
      <c r="H42" s="190" t="str">
        <f>IF(COUNTA(EBS[[#This Row],[Initiales]:[hrs/sem 
accordées]])=5,(WEEKNUM(EBS[[#This Row],[au]])-WEEKNUM(EBS[[#This Row],[du]]))*EBS[[#This Row],[hrs/sem 
accordées]],"")</f>
        <v/>
      </c>
      <c r="J42" s="73" t="str">
        <f>IF(COUNTA(EBS[[#This Row],[Initiales]:[hrs/sem 
accordées]])=0,"",IF(COUNTA(EBS[[#This Row],[Initiales]:[hrs/sem 
accordées]])=5,"","&lt;-- Veuillez compléter tous les champs"))</f>
        <v/>
      </c>
    </row>
    <row r="43" spans="2:10" x14ac:dyDescent="0.25">
      <c r="B43" s="7">
        <v>35</v>
      </c>
      <c r="C43" s="8"/>
      <c r="D43" s="8"/>
      <c r="E43" s="10"/>
      <c r="F43" s="10"/>
      <c r="G43" s="8"/>
      <c r="H43" s="190" t="str">
        <f>IF(COUNTA(EBS[[#This Row],[Initiales]:[hrs/sem 
accordées]])=5,(WEEKNUM(EBS[[#This Row],[au]])-WEEKNUM(EBS[[#This Row],[du]]))*EBS[[#This Row],[hrs/sem 
accordées]],"")</f>
        <v/>
      </c>
      <c r="J43" s="73" t="str">
        <f>IF(COUNTA(EBS[[#This Row],[Initiales]:[hrs/sem 
accordées]])=0,"",IF(COUNTA(EBS[[#This Row],[Initiales]:[hrs/sem 
accordées]])=5,"","&lt;-- Veuillez compléter tous les champs"))</f>
        <v/>
      </c>
    </row>
    <row r="44" spans="2:10" x14ac:dyDescent="0.25">
      <c r="B44" s="7">
        <v>36</v>
      </c>
      <c r="C44" s="8"/>
      <c r="D44" s="8"/>
      <c r="E44" s="10"/>
      <c r="F44" s="10"/>
      <c r="G44" s="8"/>
      <c r="H44" s="190" t="str">
        <f>IF(COUNTA(EBS[[#This Row],[Initiales]:[hrs/sem 
accordées]])=5,(WEEKNUM(EBS[[#This Row],[au]])-WEEKNUM(EBS[[#This Row],[du]]))*EBS[[#This Row],[hrs/sem 
accordées]],"")</f>
        <v/>
      </c>
      <c r="J44" s="73" t="str">
        <f>IF(COUNTA(EBS[[#This Row],[Initiales]:[hrs/sem 
accordées]])=0,"",IF(COUNTA(EBS[[#This Row],[Initiales]:[hrs/sem 
accordées]])=5,"","&lt;-- Veuillez compléter tous les champs"))</f>
        <v/>
      </c>
    </row>
    <row r="45" spans="2:10" x14ac:dyDescent="0.25">
      <c r="B45" s="7">
        <v>37</v>
      </c>
      <c r="C45" s="8"/>
      <c r="D45" s="8"/>
      <c r="E45" s="10"/>
      <c r="F45" s="10"/>
      <c r="G45" s="8"/>
      <c r="H45" s="190" t="str">
        <f>IF(COUNTA(EBS[[#This Row],[Initiales]:[hrs/sem 
accordées]])=5,(WEEKNUM(EBS[[#This Row],[au]])-WEEKNUM(EBS[[#This Row],[du]]))*EBS[[#This Row],[hrs/sem 
accordées]],"")</f>
        <v/>
      </c>
      <c r="J45" s="73" t="str">
        <f>IF(COUNTA(EBS[[#This Row],[Initiales]:[hrs/sem 
accordées]])=0,"",IF(COUNTA(EBS[[#This Row],[Initiales]:[hrs/sem 
accordées]])=5,"","&lt;-- Veuillez compléter tous les champs"))</f>
        <v/>
      </c>
    </row>
    <row r="46" spans="2:10" x14ac:dyDescent="0.25">
      <c r="B46" s="7">
        <v>38</v>
      </c>
      <c r="C46" s="8"/>
      <c r="D46" s="8"/>
      <c r="E46" s="10"/>
      <c r="F46" s="10"/>
      <c r="G46" s="8"/>
      <c r="H46" s="190" t="str">
        <f>IF(COUNTA(EBS[[#This Row],[Initiales]:[hrs/sem 
accordées]])=5,(WEEKNUM(EBS[[#This Row],[au]])-WEEKNUM(EBS[[#This Row],[du]]))*EBS[[#This Row],[hrs/sem 
accordées]],"")</f>
        <v/>
      </c>
      <c r="J46" s="73" t="str">
        <f>IF(COUNTA(EBS[[#This Row],[Initiales]:[hrs/sem 
accordées]])=0,"",IF(COUNTA(EBS[[#This Row],[Initiales]:[hrs/sem 
accordées]])=5,"","&lt;-- Veuillez compléter tous les champs"))</f>
        <v/>
      </c>
    </row>
    <row r="47" spans="2:10" x14ac:dyDescent="0.25">
      <c r="B47" s="7">
        <v>39</v>
      </c>
      <c r="C47" s="8"/>
      <c r="D47" s="8"/>
      <c r="E47" s="10"/>
      <c r="F47" s="10"/>
      <c r="G47" s="8"/>
      <c r="H47" s="190" t="str">
        <f>IF(COUNTA(EBS[[#This Row],[Initiales]:[hrs/sem 
accordées]])=5,(WEEKNUM(EBS[[#This Row],[au]])-WEEKNUM(EBS[[#This Row],[du]]))*EBS[[#This Row],[hrs/sem 
accordées]],"")</f>
        <v/>
      </c>
      <c r="J47" s="73" t="str">
        <f>IF(COUNTA(EBS[[#This Row],[Initiales]:[hrs/sem 
accordées]])=0,"",IF(COUNTA(EBS[[#This Row],[Initiales]:[hrs/sem 
accordées]])=5,"","&lt;-- Veuillez compléter tous les champs"))</f>
        <v/>
      </c>
    </row>
    <row r="48" spans="2:10" x14ac:dyDescent="0.25">
      <c r="B48" s="7">
        <v>40</v>
      </c>
      <c r="C48" s="8"/>
      <c r="D48" s="8"/>
      <c r="E48" s="10"/>
      <c r="F48" s="10"/>
      <c r="G48" s="8"/>
      <c r="H48" s="190" t="str">
        <f>IF(COUNTA(EBS[[#This Row],[Initiales]:[hrs/sem 
accordées]])=5,(WEEKNUM(EBS[[#This Row],[au]])-WEEKNUM(EBS[[#This Row],[du]]))*EBS[[#This Row],[hrs/sem 
accordées]],"")</f>
        <v/>
      </c>
      <c r="J48" s="73" t="str">
        <f>IF(COUNTA(EBS[[#This Row],[Initiales]:[hrs/sem 
accordées]])=0,"",IF(COUNTA(EBS[[#This Row],[Initiales]:[hrs/sem 
accordées]])=5,"","&lt;-- Veuillez compléter tous les champs"))</f>
        <v/>
      </c>
    </row>
    <row r="49" spans="2:10" x14ac:dyDescent="0.25">
      <c r="B49" s="7">
        <v>41</v>
      </c>
      <c r="C49" s="8"/>
      <c r="D49" s="8"/>
      <c r="E49" s="10"/>
      <c r="F49" s="10"/>
      <c r="G49" s="8"/>
      <c r="H49" s="190" t="str">
        <f>IF(COUNTA(EBS[[#This Row],[Initiales]:[hrs/sem 
accordées]])=5,(WEEKNUM(EBS[[#This Row],[au]])-WEEKNUM(EBS[[#This Row],[du]]))*EBS[[#This Row],[hrs/sem 
accordées]],"")</f>
        <v/>
      </c>
      <c r="J49" s="73" t="str">
        <f>IF(COUNTA(EBS[[#This Row],[Initiales]:[hrs/sem 
accordées]])=0,"",IF(COUNTA(EBS[[#This Row],[Initiales]:[hrs/sem 
accordées]])=5,"","&lt;-- Veuillez compléter tous les champs"))</f>
        <v/>
      </c>
    </row>
    <row r="50" spans="2:10" x14ac:dyDescent="0.25">
      <c r="B50" s="7">
        <v>42</v>
      </c>
      <c r="C50" s="8"/>
      <c r="D50" s="8"/>
      <c r="E50" s="10"/>
      <c r="F50" s="10"/>
      <c r="G50" s="8"/>
      <c r="H50" s="190" t="str">
        <f>IF(COUNTA(EBS[[#This Row],[Initiales]:[hrs/sem 
accordées]])=5,(WEEKNUM(EBS[[#This Row],[au]])-WEEKNUM(EBS[[#This Row],[du]]))*EBS[[#This Row],[hrs/sem 
accordées]],"")</f>
        <v/>
      </c>
      <c r="J50" s="73" t="str">
        <f>IF(COUNTA(EBS[[#This Row],[Initiales]:[hrs/sem 
accordées]])=0,"",IF(COUNTA(EBS[[#This Row],[Initiales]:[hrs/sem 
accordées]])=5,"","&lt;-- Veuillez compléter tous les champs"))</f>
        <v/>
      </c>
    </row>
    <row r="51" spans="2:10" x14ac:dyDescent="0.25">
      <c r="B51" s="7">
        <v>43</v>
      </c>
      <c r="C51" s="8"/>
      <c r="D51" s="8"/>
      <c r="E51" s="10"/>
      <c r="F51" s="10"/>
      <c r="G51" s="8"/>
      <c r="H51" s="190" t="str">
        <f>IF(COUNTA(EBS[[#This Row],[Initiales]:[hrs/sem 
accordées]])=5,(WEEKNUM(EBS[[#This Row],[au]])-WEEKNUM(EBS[[#This Row],[du]]))*EBS[[#This Row],[hrs/sem 
accordées]],"")</f>
        <v/>
      </c>
      <c r="J51" s="73" t="str">
        <f>IF(COUNTA(EBS[[#This Row],[Initiales]:[hrs/sem 
accordées]])=0,"",IF(COUNTA(EBS[[#This Row],[Initiales]:[hrs/sem 
accordées]])=5,"","&lt;-- Veuillez compléter tous les champs"))</f>
        <v/>
      </c>
    </row>
    <row r="52" spans="2:10" x14ac:dyDescent="0.25">
      <c r="B52" s="7">
        <v>44</v>
      </c>
      <c r="C52" s="8"/>
      <c r="D52" s="8"/>
      <c r="E52" s="10"/>
      <c r="F52" s="10"/>
      <c r="G52" s="8"/>
      <c r="H52" s="190" t="str">
        <f>IF(COUNTA(EBS[[#This Row],[Initiales]:[hrs/sem 
accordées]])=5,(WEEKNUM(EBS[[#This Row],[au]])-WEEKNUM(EBS[[#This Row],[du]]))*EBS[[#This Row],[hrs/sem 
accordées]],"")</f>
        <v/>
      </c>
      <c r="J52" s="73" t="str">
        <f>IF(COUNTA(EBS[[#This Row],[Initiales]:[hrs/sem 
accordées]])=0,"",IF(COUNTA(EBS[[#This Row],[Initiales]:[hrs/sem 
accordées]])=5,"","&lt;-- Veuillez compléter tous les champs"))</f>
        <v/>
      </c>
    </row>
    <row r="53" spans="2:10" x14ac:dyDescent="0.25">
      <c r="B53" s="7">
        <v>45</v>
      </c>
      <c r="C53" s="8"/>
      <c r="D53" s="8"/>
      <c r="E53" s="10"/>
      <c r="F53" s="10"/>
      <c r="G53" s="8"/>
      <c r="H53" s="190" t="str">
        <f>IF(COUNTA(EBS[[#This Row],[Initiales]:[hrs/sem 
accordées]])=5,(WEEKNUM(EBS[[#This Row],[au]])-WEEKNUM(EBS[[#This Row],[du]]))*EBS[[#This Row],[hrs/sem 
accordées]],"")</f>
        <v/>
      </c>
      <c r="J53" s="73" t="str">
        <f>IF(COUNTA(EBS[[#This Row],[Initiales]:[hrs/sem 
accordées]])=0,"",IF(COUNTA(EBS[[#This Row],[Initiales]:[hrs/sem 
accordées]])=5,"","&lt;-- Veuillez compléter tous les champs"))</f>
        <v/>
      </c>
    </row>
    <row r="54" spans="2:10" x14ac:dyDescent="0.25">
      <c r="B54" s="7">
        <v>46</v>
      </c>
      <c r="C54" s="8"/>
      <c r="D54" s="8"/>
      <c r="E54" s="10"/>
      <c r="F54" s="10"/>
      <c r="G54" s="8"/>
      <c r="H54" s="190" t="str">
        <f>IF(COUNTA(EBS[[#This Row],[Initiales]:[hrs/sem 
accordées]])=5,(WEEKNUM(EBS[[#This Row],[au]])-WEEKNUM(EBS[[#This Row],[du]]))*EBS[[#This Row],[hrs/sem 
accordées]],"")</f>
        <v/>
      </c>
      <c r="J54" s="73" t="str">
        <f>IF(COUNTA(EBS[[#This Row],[Initiales]:[hrs/sem 
accordées]])=0,"",IF(COUNTA(EBS[[#This Row],[Initiales]:[hrs/sem 
accordées]])=5,"","&lt;-- Veuillez compléter tous les champs"))</f>
        <v/>
      </c>
    </row>
    <row r="55" spans="2:10" x14ac:dyDescent="0.25">
      <c r="B55" s="7">
        <v>47</v>
      </c>
      <c r="C55" s="8"/>
      <c r="D55" s="8"/>
      <c r="E55" s="10"/>
      <c r="F55" s="10"/>
      <c r="G55" s="8"/>
      <c r="H55" s="190" t="str">
        <f>IF(COUNTA(EBS[[#This Row],[Initiales]:[hrs/sem 
accordées]])=5,(WEEKNUM(EBS[[#This Row],[au]])-WEEKNUM(EBS[[#This Row],[du]]))*EBS[[#This Row],[hrs/sem 
accordées]],"")</f>
        <v/>
      </c>
      <c r="J55" s="73" t="str">
        <f>IF(COUNTA(EBS[[#This Row],[Initiales]:[hrs/sem 
accordées]])=0,"",IF(COUNTA(EBS[[#This Row],[Initiales]:[hrs/sem 
accordées]])=5,"","&lt;-- Veuillez compléter tous les champs"))</f>
        <v/>
      </c>
    </row>
    <row r="56" spans="2:10" x14ac:dyDescent="0.25">
      <c r="B56" s="7">
        <v>48</v>
      </c>
      <c r="C56" s="8"/>
      <c r="D56" s="8"/>
      <c r="E56" s="10"/>
      <c r="F56" s="10"/>
      <c r="G56" s="8"/>
      <c r="H56" s="190" t="str">
        <f>IF(COUNTA(EBS[[#This Row],[Initiales]:[hrs/sem 
accordées]])=5,(WEEKNUM(EBS[[#This Row],[au]])-WEEKNUM(EBS[[#This Row],[du]]))*EBS[[#This Row],[hrs/sem 
accordées]],"")</f>
        <v/>
      </c>
      <c r="J56" s="73" t="str">
        <f>IF(COUNTA(EBS[[#This Row],[Initiales]:[hrs/sem 
accordées]])=0,"",IF(COUNTA(EBS[[#This Row],[Initiales]:[hrs/sem 
accordées]])=5,"","&lt;-- Veuillez compléter tous les champs"))</f>
        <v/>
      </c>
    </row>
    <row r="57" spans="2:10" x14ac:dyDescent="0.25">
      <c r="B57" s="7">
        <v>49</v>
      </c>
      <c r="C57" s="8"/>
      <c r="D57" s="8"/>
      <c r="E57" s="10"/>
      <c r="F57" s="10"/>
      <c r="G57" s="8"/>
      <c r="H57" s="190" t="str">
        <f>IF(COUNTA(EBS[[#This Row],[Initiales]:[hrs/sem 
accordées]])=5,(WEEKNUM(EBS[[#This Row],[au]])-WEEKNUM(EBS[[#This Row],[du]]))*EBS[[#This Row],[hrs/sem 
accordées]],"")</f>
        <v/>
      </c>
      <c r="J57" s="73" t="str">
        <f>IF(COUNTA(EBS[[#This Row],[Initiales]:[hrs/sem 
accordées]])=0,"",IF(COUNTA(EBS[[#This Row],[Initiales]:[hrs/sem 
accordées]])=5,"","&lt;-- Veuillez compléter tous les champs"))</f>
        <v/>
      </c>
    </row>
    <row r="58" spans="2:10" x14ac:dyDescent="0.25">
      <c r="B58" s="7">
        <v>50</v>
      </c>
      <c r="C58" s="8"/>
      <c r="D58" s="8"/>
      <c r="E58" s="10"/>
      <c r="F58" s="10"/>
      <c r="G58" s="8"/>
      <c r="H58" s="190" t="str">
        <f>IF(COUNTA(EBS[[#This Row],[Initiales]:[hrs/sem 
accordées]])=5,(WEEKNUM(EBS[[#This Row],[au]])-WEEKNUM(EBS[[#This Row],[du]]))*EBS[[#This Row],[hrs/sem 
accordées]],"")</f>
        <v/>
      </c>
      <c r="J58" s="73" t="str">
        <f>IF(COUNTA(EBS[[#This Row],[Initiales]:[hrs/sem 
accordées]])=0,"",IF(COUNTA(EBS[[#This Row],[Initiales]:[hrs/sem 
accordées]])=5,"","&lt;-- Veuillez compléter tous les champs"))</f>
        <v/>
      </c>
    </row>
    <row r="59" spans="2:10" x14ac:dyDescent="0.25">
      <c r="B59" s="7">
        <v>51</v>
      </c>
      <c r="C59" s="8"/>
      <c r="D59" s="8"/>
      <c r="E59" s="10"/>
      <c r="F59" s="10"/>
      <c r="G59" s="8"/>
      <c r="H59" s="190" t="str">
        <f>IF(COUNTA(EBS[[#This Row],[Initiales]:[hrs/sem 
accordées]])=5,(WEEKNUM(EBS[[#This Row],[au]])-WEEKNUM(EBS[[#This Row],[du]]))*EBS[[#This Row],[hrs/sem 
accordées]],"")</f>
        <v/>
      </c>
      <c r="J59" s="73" t="str">
        <f>IF(COUNTA(EBS[[#This Row],[Initiales]:[hrs/sem 
accordées]])=0,"",IF(COUNTA(EBS[[#This Row],[Initiales]:[hrs/sem 
accordées]])=5,"","&lt;-- Veuillez compléter tous les champs"))</f>
        <v/>
      </c>
    </row>
    <row r="60" spans="2:10" x14ac:dyDescent="0.25">
      <c r="B60" s="7">
        <v>52</v>
      </c>
      <c r="C60" s="8"/>
      <c r="D60" s="8"/>
      <c r="E60" s="10"/>
      <c r="F60" s="10"/>
      <c r="G60" s="8"/>
      <c r="H60" s="190" t="str">
        <f>IF(COUNTA(EBS[[#This Row],[Initiales]:[hrs/sem 
accordées]])=5,(WEEKNUM(EBS[[#This Row],[au]])-WEEKNUM(EBS[[#This Row],[du]]))*EBS[[#This Row],[hrs/sem 
accordées]],"")</f>
        <v/>
      </c>
      <c r="J60" s="73" t="str">
        <f>IF(COUNTA(EBS[[#This Row],[Initiales]:[hrs/sem 
accordées]])=0,"",IF(COUNTA(EBS[[#This Row],[Initiales]:[hrs/sem 
accordées]])=5,"","&lt;-- Veuillez compléter tous les champs"))</f>
        <v/>
      </c>
    </row>
    <row r="61" spans="2:10" x14ac:dyDescent="0.25">
      <c r="B61" s="7">
        <v>53</v>
      </c>
      <c r="C61" s="8"/>
      <c r="D61" s="8"/>
      <c r="E61" s="10"/>
      <c r="F61" s="10"/>
      <c r="G61" s="8"/>
      <c r="H61" s="190" t="str">
        <f>IF(COUNTA(EBS[[#This Row],[Initiales]:[hrs/sem 
accordées]])=5,(WEEKNUM(EBS[[#This Row],[au]])-WEEKNUM(EBS[[#This Row],[du]]))*EBS[[#This Row],[hrs/sem 
accordées]],"")</f>
        <v/>
      </c>
      <c r="J61" s="73" t="str">
        <f>IF(COUNTA(EBS[[#This Row],[Initiales]:[hrs/sem 
accordées]])=0,"",IF(COUNTA(EBS[[#This Row],[Initiales]:[hrs/sem 
accordées]])=5,"","&lt;-- Veuillez compléter tous les champs"))</f>
        <v/>
      </c>
    </row>
    <row r="62" spans="2:10" x14ac:dyDescent="0.25">
      <c r="B62" s="7">
        <v>54</v>
      </c>
      <c r="C62" s="8"/>
      <c r="D62" s="8"/>
      <c r="E62" s="10"/>
      <c r="F62" s="10"/>
      <c r="G62" s="8"/>
      <c r="H62" s="190" t="str">
        <f>IF(COUNTA(EBS[[#This Row],[Initiales]:[hrs/sem 
accordées]])=5,(WEEKNUM(EBS[[#This Row],[au]])-WEEKNUM(EBS[[#This Row],[du]]))*EBS[[#This Row],[hrs/sem 
accordées]],"")</f>
        <v/>
      </c>
      <c r="J62" s="73" t="str">
        <f>IF(COUNTA(EBS[[#This Row],[Initiales]:[hrs/sem 
accordées]])=0,"",IF(COUNTA(EBS[[#This Row],[Initiales]:[hrs/sem 
accordées]])=5,"","&lt;-- Veuillez compléter tous les champs"))</f>
        <v/>
      </c>
    </row>
    <row r="63" spans="2:10" x14ac:dyDescent="0.25">
      <c r="B63" s="7">
        <v>55</v>
      </c>
      <c r="C63" s="8"/>
      <c r="D63" s="8"/>
      <c r="E63" s="10"/>
      <c r="F63" s="10"/>
      <c r="G63" s="8"/>
      <c r="H63" s="190" t="str">
        <f>IF(COUNTA(EBS[[#This Row],[Initiales]:[hrs/sem 
accordées]])=5,(WEEKNUM(EBS[[#This Row],[au]])-WEEKNUM(EBS[[#This Row],[du]]))*EBS[[#This Row],[hrs/sem 
accordées]],"")</f>
        <v/>
      </c>
      <c r="J63" s="73" t="str">
        <f>IF(COUNTA(EBS[[#This Row],[Initiales]:[hrs/sem 
accordées]])=0,"",IF(COUNTA(EBS[[#This Row],[Initiales]:[hrs/sem 
accordées]])=5,"","&lt;-- Veuillez compléter tous les champs"))</f>
        <v/>
      </c>
    </row>
    <row r="64" spans="2:10" x14ac:dyDescent="0.25">
      <c r="B64" s="7">
        <v>56</v>
      </c>
      <c r="C64" s="8"/>
      <c r="D64" s="8"/>
      <c r="E64" s="10"/>
      <c r="F64" s="10"/>
      <c r="G64" s="8"/>
      <c r="H64" s="190" t="str">
        <f>IF(COUNTA(EBS[[#This Row],[Initiales]:[hrs/sem 
accordées]])=5,(WEEKNUM(EBS[[#This Row],[au]])-WEEKNUM(EBS[[#This Row],[du]]))*EBS[[#This Row],[hrs/sem 
accordées]],"")</f>
        <v/>
      </c>
      <c r="J64" s="73" t="str">
        <f>IF(COUNTA(EBS[[#This Row],[Initiales]:[hrs/sem 
accordées]])=0,"",IF(COUNTA(EBS[[#This Row],[Initiales]:[hrs/sem 
accordées]])=5,"","&lt;-- Veuillez compléter tous les champs"))</f>
        <v/>
      </c>
    </row>
    <row r="65" spans="2:10" x14ac:dyDescent="0.25">
      <c r="B65" s="7">
        <v>57</v>
      </c>
      <c r="C65" s="8"/>
      <c r="D65" s="8"/>
      <c r="E65" s="10"/>
      <c r="F65" s="10"/>
      <c r="G65" s="8"/>
      <c r="H65" s="190" t="str">
        <f>IF(COUNTA(EBS[[#This Row],[Initiales]:[hrs/sem 
accordées]])=5,(WEEKNUM(EBS[[#This Row],[au]])-WEEKNUM(EBS[[#This Row],[du]]))*EBS[[#This Row],[hrs/sem 
accordées]],"")</f>
        <v/>
      </c>
      <c r="J65" s="73" t="str">
        <f>IF(COUNTA(EBS[[#This Row],[Initiales]:[hrs/sem 
accordées]])=0,"",IF(COUNTA(EBS[[#This Row],[Initiales]:[hrs/sem 
accordées]])=5,"","&lt;-- Veuillez compléter tous les champs"))</f>
        <v/>
      </c>
    </row>
    <row r="66" spans="2:10" x14ac:dyDescent="0.25">
      <c r="B66" s="7">
        <v>58</v>
      </c>
      <c r="C66" s="8"/>
      <c r="D66" s="8"/>
      <c r="E66" s="10"/>
      <c r="F66" s="10"/>
      <c r="G66" s="8"/>
      <c r="H66" s="190" t="str">
        <f>IF(COUNTA(EBS[[#This Row],[Initiales]:[hrs/sem 
accordées]])=5,(WEEKNUM(EBS[[#This Row],[au]])-WEEKNUM(EBS[[#This Row],[du]]))*EBS[[#This Row],[hrs/sem 
accordées]],"")</f>
        <v/>
      </c>
      <c r="J66" s="73" t="str">
        <f>IF(COUNTA(EBS[[#This Row],[Initiales]:[hrs/sem 
accordées]])=0,"",IF(COUNTA(EBS[[#This Row],[Initiales]:[hrs/sem 
accordées]])=5,"","&lt;-- Veuillez compléter tous les champs"))</f>
        <v/>
      </c>
    </row>
    <row r="67" spans="2:10" x14ac:dyDescent="0.25">
      <c r="B67" s="7">
        <v>59</v>
      </c>
      <c r="C67" s="8"/>
      <c r="D67" s="8"/>
      <c r="E67" s="10"/>
      <c r="F67" s="10"/>
      <c r="G67" s="8"/>
      <c r="H67" s="190" t="str">
        <f>IF(COUNTA(EBS[[#This Row],[Initiales]:[hrs/sem 
accordées]])=5,(WEEKNUM(EBS[[#This Row],[au]])-WEEKNUM(EBS[[#This Row],[du]]))*EBS[[#This Row],[hrs/sem 
accordées]],"")</f>
        <v/>
      </c>
      <c r="J67" s="73" t="str">
        <f>IF(COUNTA(EBS[[#This Row],[Initiales]:[hrs/sem 
accordées]])=0,"",IF(COUNTA(EBS[[#This Row],[Initiales]:[hrs/sem 
accordées]])=5,"","&lt;-- Veuillez compléter tous les champs"))</f>
        <v/>
      </c>
    </row>
    <row r="68" spans="2:10" x14ac:dyDescent="0.25">
      <c r="B68" s="7">
        <v>60</v>
      </c>
      <c r="C68" s="8"/>
      <c r="D68" s="8"/>
      <c r="E68" s="10"/>
      <c r="F68" s="10"/>
      <c r="G68" s="8"/>
      <c r="H68" s="190" t="str">
        <f>IF(COUNTA(EBS[[#This Row],[Initiales]:[hrs/sem 
accordées]])=5,(WEEKNUM(EBS[[#This Row],[au]])-WEEKNUM(EBS[[#This Row],[du]]))*EBS[[#This Row],[hrs/sem 
accordées]],"")</f>
        <v/>
      </c>
      <c r="J68" s="73" t="str">
        <f>IF(COUNTA(EBS[[#This Row],[Initiales]:[hrs/sem 
accordées]])=0,"",IF(COUNTA(EBS[[#This Row],[Initiales]:[hrs/sem 
accordées]])=5,"","&lt;-- Veuillez compléter tous les champs"))</f>
        <v/>
      </c>
    </row>
    <row r="69" spans="2:10" x14ac:dyDescent="0.25">
      <c r="B69" s="7">
        <v>61</v>
      </c>
      <c r="C69" s="8"/>
      <c r="D69" s="8"/>
      <c r="E69" s="10"/>
      <c r="F69" s="10"/>
      <c r="G69" s="8"/>
      <c r="H69" s="190" t="str">
        <f>IF(COUNTA(EBS[[#This Row],[Initiales]:[hrs/sem 
accordées]])=5,(WEEKNUM(EBS[[#This Row],[au]])-WEEKNUM(EBS[[#This Row],[du]]))*EBS[[#This Row],[hrs/sem 
accordées]],"")</f>
        <v/>
      </c>
      <c r="J69" s="73" t="str">
        <f>IF(COUNTA(EBS[[#This Row],[Initiales]:[hrs/sem 
accordées]])=0,"",IF(COUNTA(EBS[[#This Row],[Initiales]:[hrs/sem 
accordées]])=5,"","&lt;-- Veuillez compléter tous les champs"))</f>
        <v/>
      </c>
    </row>
    <row r="70" spans="2:10" x14ac:dyDescent="0.25">
      <c r="B70" s="7">
        <v>62</v>
      </c>
      <c r="C70" s="8"/>
      <c r="D70" s="8"/>
      <c r="E70" s="10"/>
      <c r="F70" s="10"/>
      <c r="G70" s="8"/>
      <c r="H70" s="190" t="str">
        <f>IF(COUNTA(EBS[[#This Row],[Initiales]:[hrs/sem 
accordées]])=5,(WEEKNUM(EBS[[#This Row],[au]])-WEEKNUM(EBS[[#This Row],[du]]))*EBS[[#This Row],[hrs/sem 
accordées]],"")</f>
        <v/>
      </c>
      <c r="J70" s="73" t="str">
        <f>IF(COUNTA(EBS[[#This Row],[Initiales]:[hrs/sem 
accordées]])=0,"",IF(COUNTA(EBS[[#This Row],[Initiales]:[hrs/sem 
accordées]])=5,"","&lt;-- Veuillez compléter tous les champs"))</f>
        <v/>
      </c>
    </row>
    <row r="71" spans="2:10" x14ac:dyDescent="0.25">
      <c r="B71" s="7">
        <v>63</v>
      </c>
      <c r="C71" s="8"/>
      <c r="D71" s="8"/>
      <c r="E71" s="10"/>
      <c r="F71" s="10"/>
      <c r="G71" s="8"/>
      <c r="H71" s="190" t="str">
        <f>IF(COUNTA(EBS[[#This Row],[Initiales]:[hrs/sem 
accordées]])=5,(WEEKNUM(EBS[[#This Row],[au]])-WEEKNUM(EBS[[#This Row],[du]]))*EBS[[#This Row],[hrs/sem 
accordées]],"")</f>
        <v/>
      </c>
      <c r="J71" s="73" t="str">
        <f>IF(COUNTA(EBS[[#This Row],[Initiales]:[hrs/sem 
accordées]])=0,"",IF(COUNTA(EBS[[#This Row],[Initiales]:[hrs/sem 
accordées]])=5,"","&lt;-- Veuillez compléter tous les champs"))</f>
        <v/>
      </c>
    </row>
    <row r="72" spans="2:10" x14ac:dyDescent="0.25">
      <c r="B72" s="7">
        <v>64</v>
      </c>
      <c r="C72" s="8"/>
      <c r="D72" s="8"/>
      <c r="E72" s="10"/>
      <c r="F72" s="10"/>
      <c r="G72" s="8"/>
      <c r="H72" s="190" t="str">
        <f>IF(COUNTA(EBS[[#This Row],[Initiales]:[hrs/sem 
accordées]])=5,(WEEKNUM(EBS[[#This Row],[au]])-WEEKNUM(EBS[[#This Row],[du]]))*EBS[[#This Row],[hrs/sem 
accordées]],"")</f>
        <v/>
      </c>
      <c r="J72" s="73" t="str">
        <f>IF(COUNTA(EBS[[#This Row],[Initiales]:[hrs/sem 
accordées]])=0,"",IF(COUNTA(EBS[[#This Row],[Initiales]:[hrs/sem 
accordées]])=5,"","&lt;-- Veuillez compléter tous les champs"))</f>
        <v/>
      </c>
    </row>
    <row r="73" spans="2:10" x14ac:dyDescent="0.25">
      <c r="B73" s="7">
        <v>65</v>
      </c>
      <c r="C73" s="8"/>
      <c r="D73" s="8"/>
      <c r="E73" s="10"/>
      <c r="F73" s="10"/>
      <c r="G73" s="8"/>
      <c r="H73" s="190" t="str">
        <f>IF(COUNTA(EBS[[#This Row],[Initiales]:[hrs/sem 
accordées]])=5,(WEEKNUM(EBS[[#This Row],[au]])-WEEKNUM(EBS[[#This Row],[du]]))*EBS[[#This Row],[hrs/sem 
accordées]],"")</f>
        <v/>
      </c>
      <c r="J73" s="73" t="str">
        <f>IF(COUNTA(EBS[[#This Row],[Initiales]:[hrs/sem 
accordées]])=0,"",IF(COUNTA(EBS[[#This Row],[Initiales]:[hrs/sem 
accordées]])=5,"","&lt;-- Veuillez compléter tous les champs"))</f>
        <v/>
      </c>
    </row>
    <row r="74" spans="2:10" x14ac:dyDescent="0.25">
      <c r="B74" s="7">
        <v>66</v>
      </c>
      <c r="C74" s="8"/>
      <c r="D74" s="8"/>
      <c r="E74" s="10"/>
      <c r="F74" s="10"/>
      <c r="G74" s="8"/>
      <c r="H74" s="190" t="str">
        <f>IF(COUNTA(EBS[[#This Row],[Initiales]:[hrs/sem 
accordées]])=5,(WEEKNUM(EBS[[#This Row],[au]])-WEEKNUM(EBS[[#This Row],[du]]))*EBS[[#This Row],[hrs/sem 
accordées]],"")</f>
        <v/>
      </c>
      <c r="J74" s="73" t="str">
        <f>IF(COUNTA(EBS[[#This Row],[Initiales]:[hrs/sem 
accordées]])=0,"",IF(COUNTA(EBS[[#This Row],[Initiales]:[hrs/sem 
accordées]])=5,"","&lt;-- Veuillez compléter tous les champs"))</f>
        <v/>
      </c>
    </row>
    <row r="75" spans="2:10" x14ac:dyDescent="0.25">
      <c r="B75" s="7">
        <v>67</v>
      </c>
      <c r="C75" s="8"/>
      <c r="D75" s="8"/>
      <c r="E75" s="10"/>
      <c r="F75" s="10"/>
      <c r="G75" s="8"/>
      <c r="H75" s="190" t="str">
        <f>IF(COUNTA(EBS[[#This Row],[Initiales]:[hrs/sem 
accordées]])=5,(WEEKNUM(EBS[[#This Row],[au]])-WEEKNUM(EBS[[#This Row],[du]]))*EBS[[#This Row],[hrs/sem 
accordées]],"")</f>
        <v/>
      </c>
      <c r="J75" s="73" t="str">
        <f>IF(COUNTA(EBS[[#This Row],[Initiales]:[hrs/sem 
accordées]])=0,"",IF(COUNTA(EBS[[#This Row],[Initiales]:[hrs/sem 
accordées]])=5,"","&lt;-- Veuillez compléter tous les champs"))</f>
        <v/>
      </c>
    </row>
    <row r="76" spans="2:10" x14ac:dyDescent="0.25">
      <c r="B76" s="7">
        <v>68</v>
      </c>
      <c r="C76" s="8"/>
      <c r="D76" s="8"/>
      <c r="E76" s="10"/>
      <c r="F76" s="10"/>
      <c r="G76" s="8"/>
      <c r="H76" s="190" t="str">
        <f>IF(COUNTA(EBS[[#This Row],[Initiales]:[hrs/sem 
accordées]])=5,(WEEKNUM(EBS[[#This Row],[au]])-WEEKNUM(EBS[[#This Row],[du]]))*EBS[[#This Row],[hrs/sem 
accordées]],"")</f>
        <v/>
      </c>
      <c r="J76" s="73" t="str">
        <f>IF(COUNTA(EBS[[#This Row],[Initiales]:[hrs/sem 
accordées]])=0,"",IF(COUNTA(EBS[[#This Row],[Initiales]:[hrs/sem 
accordées]])=5,"","&lt;-- Veuillez compléter tous les champs"))</f>
        <v/>
      </c>
    </row>
    <row r="77" spans="2:10" x14ac:dyDescent="0.25">
      <c r="B77" s="7">
        <v>69</v>
      </c>
      <c r="C77" s="8"/>
      <c r="D77" s="8"/>
      <c r="E77" s="10"/>
      <c r="F77" s="10"/>
      <c r="G77" s="8"/>
      <c r="H77" s="190" t="str">
        <f>IF(COUNTA(EBS[[#This Row],[Initiales]:[hrs/sem 
accordées]])=5,(WEEKNUM(EBS[[#This Row],[au]])-WEEKNUM(EBS[[#This Row],[du]]))*EBS[[#This Row],[hrs/sem 
accordées]],"")</f>
        <v/>
      </c>
      <c r="J77" s="73" t="str">
        <f>IF(COUNTA(EBS[[#This Row],[Initiales]:[hrs/sem 
accordées]])=0,"",IF(COUNTA(EBS[[#This Row],[Initiales]:[hrs/sem 
accordées]])=5,"","&lt;-- Veuillez compléter tous les champs"))</f>
        <v/>
      </c>
    </row>
    <row r="78" spans="2:10" x14ac:dyDescent="0.25">
      <c r="B78" s="7">
        <v>70</v>
      </c>
      <c r="C78" s="8"/>
      <c r="D78" s="8"/>
      <c r="E78" s="10"/>
      <c r="F78" s="10"/>
      <c r="G78" s="8"/>
      <c r="H78" s="190" t="str">
        <f>IF(COUNTA(EBS[[#This Row],[Initiales]:[hrs/sem 
accordées]])=5,(WEEKNUM(EBS[[#This Row],[au]])-WEEKNUM(EBS[[#This Row],[du]]))*EBS[[#This Row],[hrs/sem 
accordées]],"")</f>
        <v/>
      </c>
      <c r="J78" s="73" t="str">
        <f>IF(COUNTA(EBS[[#This Row],[Initiales]:[hrs/sem 
accordées]])=0,"",IF(COUNTA(EBS[[#This Row],[Initiales]:[hrs/sem 
accordées]])=5,"","&lt;-- Veuillez compléter tous les champs"))</f>
        <v/>
      </c>
    </row>
    <row r="79" spans="2:10" x14ac:dyDescent="0.25">
      <c r="B79" s="7">
        <v>71</v>
      </c>
      <c r="C79" s="8"/>
      <c r="D79" s="8"/>
      <c r="E79" s="10"/>
      <c r="F79" s="10"/>
      <c r="G79" s="8"/>
      <c r="H79" s="190" t="str">
        <f>IF(COUNTA(EBS[[#This Row],[Initiales]:[hrs/sem 
accordées]])=5,(WEEKNUM(EBS[[#This Row],[au]])-WEEKNUM(EBS[[#This Row],[du]]))*EBS[[#This Row],[hrs/sem 
accordées]],"")</f>
        <v/>
      </c>
      <c r="J79" s="73" t="str">
        <f>IF(COUNTA(EBS[[#This Row],[Initiales]:[hrs/sem 
accordées]])=0,"",IF(COUNTA(EBS[[#This Row],[Initiales]:[hrs/sem 
accordées]])=5,"","&lt;-- Veuillez compléter tous les champs"))</f>
        <v/>
      </c>
    </row>
    <row r="80" spans="2:10" x14ac:dyDescent="0.25">
      <c r="B80" s="7">
        <v>72</v>
      </c>
      <c r="C80" s="8"/>
      <c r="D80" s="8"/>
      <c r="E80" s="10"/>
      <c r="F80" s="10"/>
      <c r="G80" s="8"/>
      <c r="H80" s="190" t="str">
        <f>IF(COUNTA(EBS[[#This Row],[Initiales]:[hrs/sem 
accordées]])=5,(WEEKNUM(EBS[[#This Row],[au]])-WEEKNUM(EBS[[#This Row],[du]]))*EBS[[#This Row],[hrs/sem 
accordées]],"")</f>
        <v/>
      </c>
      <c r="J80" s="73" t="str">
        <f>IF(COUNTA(EBS[[#This Row],[Initiales]:[hrs/sem 
accordées]])=0,"",IF(COUNTA(EBS[[#This Row],[Initiales]:[hrs/sem 
accordées]])=5,"","&lt;-- Veuillez compléter tous les champs"))</f>
        <v/>
      </c>
    </row>
    <row r="81" spans="2:10" x14ac:dyDescent="0.25">
      <c r="B81" s="7">
        <v>73</v>
      </c>
      <c r="C81" s="8"/>
      <c r="D81" s="8"/>
      <c r="E81" s="10"/>
      <c r="F81" s="10"/>
      <c r="G81" s="8"/>
      <c r="H81" s="190" t="str">
        <f>IF(COUNTA(EBS[[#This Row],[Initiales]:[hrs/sem 
accordées]])=5,(WEEKNUM(EBS[[#This Row],[au]])-WEEKNUM(EBS[[#This Row],[du]]))*EBS[[#This Row],[hrs/sem 
accordées]],"")</f>
        <v/>
      </c>
      <c r="J81" s="73" t="str">
        <f>IF(COUNTA(EBS[[#This Row],[Initiales]:[hrs/sem 
accordées]])=0,"",IF(COUNTA(EBS[[#This Row],[Initiales]:[hrs/sem 
accordées]])=5,"","&lt;-- Veuillez compléter tous les champs"))</f>
        <v/>
      </c>
    </row>
    <row r="82" spans="2:10" x14ac:dyDescent="0.25">
      <c r="B82" s="7">
        <v>74</v>
      </c>
      <c r="C82" s="8"/>
      <c r="D82" s="8"/>
      <c r="E82" s="10"/>
      <c r="F82" s="10"/>
      <c r="G82" s="8"/>
      <c r="H82" s="190" t="str">
        <f>IF(COUNTA(EBS[[#This Row],[Initiales]:[hrs/sem 
accordées]])=5,(WEEKNUM(EBS[[#This Row],[au]])-WEEKNUM(EBS[[#This Row],[du]]))*EBS[[#This Row],[hrs/sem 
accordées]],"")</f>
        <v/>
      </c>
      <c r="J82" s="73" t="str">
        <f>IF(COUNTA(EBS[[#This Row],[Initiales]:[hrs/sem 
accordées]])=0,"",IF(COUNTA(EBS[[#This Row],[Initiales]:[hrs/sem 
accordées]])=5,"","&lt;-- Veuillez compléter tous les champs"))</f>
        <v/>
      </c>
    </row>
    <row r="83" spans="2:10" x14ac:dyDescent="0.25">
      <c r="B83" s="7">
        <v>75</v>
      </c>
      <c r="C83" s="8"/>
      <c r="D83" s="8"/>
      <c r="E83" s="10"/>
      <c r="F83" s="10"/>
      <c r="G83" s="8"/>
      <c r="H83" s="190" t="str">
        <f>IF(COUNTA(EBS[[#This Row],[Initiales]:[hrs/sem 
accordées]])=5,(WEEKNUM(EBS[[#This Row],[au]])-WEEKNUM(EBS[[#This Row],[du]]))*EBS[[#This Row],[hrs/sem 
accordées]],"")</f>
        <v/>
      </c>
      <c r="J83" s="73" t="str">
        <f>IF(COUNTA(EBS[[#This Row],[Initiales]:[hrs/sem 
accordées]])=0,"",IF(COUNTA(EBS[[#This Row],[Initiales]:[hrs/sem 
accordées]])=5,"","&lt;-- Veuillez compléter tous les champs"))</f>
        <v/>
      </c>
    </row>
    <row r="84" spans="2:10" x14ac:dyDescent="0.25">
      <c r="B84" s="7">
        <v>76</v>
      </c>
      <c r="C84" s="8"/>
      <c r="D84" s="8"/>
      <c r="E84" s="10"/>
      <c r="F84" s="10"/>
      <c r="G84" s="8"/>
      <c r="H84" s="190" t="str">
        <f>IF(COUNTA(EBS[[#This Row],[Initiales]:[hrs/sem 
accordées]])=5,(WEEKNUM(EBS[[#This Row],[au]])-WEEKNUM(EBS[[#This Row],[du]]))*EBS[[#This Row],[hrs/sem 
accordées]],"")</f>
        <v/>
      </c>
      <c r="J84" s="73" t="str">
        <f>IF(COUNTA(EBS[[#This Row],[Initiales]:[hrs/sem 
accordées]])=0,"",IF(COUNTA(EBS[[#This Row],[Initiales]:[hrs/sem 
accordées]])=5,"","&lt;-- Veuillez compléter tous les champs"))</f>
        <v/>
      </c>
    </row>
    <row r="85" spans="2:10" x14ac:dyDescent="0.25">
      <c r="B85" s="7">
        <v>77</v>
      </c>
      <c r="C85" s="8"/>
      <c r="D85" s="8"/>
      <c r="E85" s="10"/>
      <c r="F85" s="10"/>
      <c r="G85" s="8"/>
      <c r="H85" s="190" t="str">
        <f>IF(COUNTA(EBS[[#This Row],[Initiales]:[hrs/sem 
accordées]])=5,(WEEKNUM(EBS[[#This Row],[au]])-WEEKNUM(EBS[[#This Row],[du]]))*EBS[[#This Row],[hrs/sem 
accordées]],"")</f>
        <v/>
      </c>
      <c r="J85" s="73" t="str">
        <f>IF(COUNTA(EBS[[#This Row],[Initiales]:[hrs/sem 
accordées]])=0,"",IF(COUNTA(EBS[[#This Row],[Initiales]:[hrs/sem 
accordées]])=5,"","&lt;-- Veuillez compléter tous les champs"))</f>
        <v/>
      </c>
    </row>
    <row r="86" spans="2:10" x14ac:dyDescent="0.25">
      <c r="B86" s="7">
        <v>78</v>
      </c>
      <c r="C86" s="8"/>
      <c r="D86" s="8"/>
      <c r="E86" s="10"/>
      <c r="F86" s="10"/>
      <c r="G86" s="8"/>
      <c r="H86" s="190" t="str">
        <f>IF(COUNTA(EBS[[#This Row],[Initiales]:[hrs/sem 
accordées]])=5,(WEEKNUM(EBS[[#This Row],[au]])-WEEKNUM(EBS[[#This Row],[du]]))*EBS[[#This Row],[hrs/sem 
accordées]],"")</f>
        <v/>
      </c>
      <c r="J86" s="73" t="str">
        <f>IF(COUNTA(EBS[[#This Row],[Initiales]:[hrs/sem 
accordées]])=0,"",IF(COUNTA(EBS[[#This Row],[Initiales]:[hrs/sem 
accordées]])=5,"","&lt;-- Veuillez compléter tous les champs"))</f>
        <v/>
      </c>
    </row>
    <row r="87" spans="2:10" x14ac:dyDescent="0.25">
      <c r="B87" s="7">
        <v>79</v>
      </c>
      <c r="C87" s="8"/>
      <c r="D87" s="8"/>
      <c r="E87" s="10"/>
      <c r="F87" s="10"/>
      <c r="G87" s="8"/>
      <c r="H87" s="190" t="str">
        <f>IF(COUNTA(EBS[[#This Row],[Initiales]:[hrs/sem 
accordées]])=5,(WEEKNUM(EBS[[#This Row],[au]])-WEEKNUM(EBS[[#This Row],[du]]))*EBS[[#This Row],[hrs/sem 
accordées]],"")</f>
        <v/>
      </c>
      <c r="J87" s="73" t="str">
        <f>IF(COUNTA(EBS[[#This Row],[Initiales]:[hrs/sem 
accordées]])=0,"",IF(COUNTA(EBS[[#This Row],[Initiales]:[hrs/sem 
accordées]])=5,"","&lt;-- Veuillez compléter tous les champs"))</f>
        <v/>
      </c>
    </row>
    <row r="88" spans="2:10" x14ac:dyDescent="0.25">
      <c r="B88" s="7">
        <v>80</v>
      </c>
      <c r="C88" s="8"/>
      <c r="D88" s="8"/>
      <c r="E88" s="10"/>
      <c r="F88" s="10"/>
      <c r="G88" s="8"/>
      <c r="H88" s="190" t="str">
        <f>IF(COUNTA(EBS[[#This Row],[Initiales]:[hrs/sem 
accordées]])=5,(WEEKNUM(EBS[[#This Row],[au]])-WEEKNUM(EBS[[#This Row],[du]]))*EBS[[#This Row],[hrs/sem 
accordées]],"")</f>
        <v/>
      </c>
      <c r="J88" s="73" t="str">
        <f>IF(COUNTA(EBS[[#This Row],[Initiales]:[hrs/sem 
accordées]])=0,"",IF(COUNTA(EBS[[#This Row],[Initiales]:[hrs/sem 
accordées]])=5,"","&lt;-- Veuillez compléter tous les champs"))</f>
        <v/>
      </c>
    </row>
    <row r="89" spans="2:10" x14ac:dyDescent="0.25">
      <c r="B89" s="7">
        <v>81</v>
      </c>
      <c r="C89" s="8"/>
      <c r="D89" s="8"/>
      <c r="E89" s="10"/>
      <c r="F89" s="10"/>
      <c r="G89" s="8"/>
      <c r="H89" s="190" t="str">
        <f>IF(COUNTA(EBS[[#This Row],[Initiales]:[hrs/sem 
accordées]])=5,(WEEKNUM(EBS[[#This Row],[au]])-WEEKNUM(EBS[[#This Row],[du]]))*EBS[[#This Row],[hrs/sem 
accordées]],"")</f>
        <v/>
      </c>
      <c r="J89" s="73" t="str">
        <f>IF(COUNTA(EBS[[#This Row],[Initiales]:[hrs/sem 
accordées]])=0,"",IF(COUNTA(EBS[[#This Row],[Initiales]:[hrs/sem 
accordées]])=5,"","&lt;-- Veuillez compléter tous les champs"))</f>
        <v/>
      </c>
    </row>
    <row r="90" spans="2:10" x14ac:dyDescent="0.25">
      <c r="B90" s="7">
        <v>82</v>
      </c>
      <c r="C90" s="8"/>
      <c r="D90" s="8"/>
      <c r="E90" s="10"/>
      <c r="F90" s="10"/>
      <c r="G90" s="8"/>
      <c r="H90" s="190" t="str">
        <f>IF(COUNTA(EBS[[#This Row],[Initiales]:[hrs/sem 
accordées]])=5,(WEEKNUM(EBS[[#This Row],[au]])-WEEKNUM(EBS[[#This Row],[du]]))*EBS[[#This Row],[hrs/sem 
accordées]],"")</f>
        <v/>
      </c>
      <c r="J90" s="73" t="str">
        <f>IF(COUNTA(EBS[[#This Row],[Initiales]:[hrs/sem 
accordées]])=0,"",IF(COUNTA(EBS[[#This Row],[Initiales]:[hrs/sem 
accordées]])=5,"","&lt;-- Veuillez compléter tous les champs"))</f>
        <v/>
      </c>
    </row>
    <row r="91" spans="2:10" x14ac:dyDescent="0.25">
      <c r="B91" s="7">
        <v>83</v>
      </c>
      <c r="C91" s="8"/>
      <c r="D91" s="8"/>
      <c r="E91" s="10"/>
      <c r="F91" s="10"/>
      <c r="G91" s="8"/>
      <c r="H91" s="190" t="str">
        <f>IF(COUNTA(EBS[[#This Row],[Initiales]:[hrs/sem 
accordées]])=5,(WEEKNUM(EBS[[#This Row],[au]])-WEEKNUM(EBS[[#This Row],[du]]))*EBS[[#This Row],[hrs/sem 
accordées]],"")</f>
        <v/>
      </c>
      <c r="J91" s="73" t="str">
        <f>IF(COUNTA(EBS[[#This Row],[Initiales]:[hrs/sem 
accordées]])=0,"",IF(COUNTA(EBS[[#This Row],[Initiales]:[hrs/sem 
accordées]])=5,"","&lt;-- Veuillez compléter tous les champs"))</f>
        <v/>
      </c>
    </row>
    <row r="92" spans="2:10" x14ac:dyDescent="0.25">
      <c r="B92" s="7">
        <v>84</v>
      </c>
      <c r="C92" s="8"/>
      <c r="D92" s="8"/>
      <c r="E92" s="10"/>
      <c r="F92" s="10"/>
      <c r="G92" s="8"/>
      <c r="H92" s="190" t="str">
        <f>IF(COUNTA(EBS[[#This Row],[Initiales]:[hrs/sem 
accordées]])=5,(WEEKNUM(EBS[[#This Row],[au]])-WEEKNUM(EBS[[#This Row],[du]]))*EBS[[#This Row],[hrs/sem 
accordées]],"")</f>
        <v/>
      </c>
      <c r="J92" s="73" t="str">
        <f>IF(COUNTA(EBS[[#This Row],[Initiales]:[hrs/sem 
accordées]])=0,"",IF(COUNTA(EBS[[#This Row],[Initiales]:[hrs/sem 
accordées]])=5,"","&lt;-- Veuillez compléter tous les champs"))</f>
        <v/>
      </c>
    </row>
    <row r="93" spans="2:10" x14ac:dyDescent="0.25">
      <c r="B93" s="7">
        <v>85</v>
      </c>
      <c r="C93" s="8"/>
      <c r="D93" s="8"/>
      <c r="E93" s="10"/>
      <c r="F93" s="10"/>
      <c r="G93" s="8"/>
      <c r="H93" s="190" t="str">
        <f>IF(COUNTA(EBS[[#This Row],[Initiales]:[hrs/sem 
accordées]])=5,(WEEKNUM(EBS[[#This Row],[au]])-WEEKNUM(EBS[[#This Row],[du]]))*EBS[[#This Row],[hrs/sem 
accordées]],"")</f>
        <v/>
      </c>
      <c r="J93" s="73" t="str">
        <f>IF(COUNTA(EBS[[#This Row],[Initiales]:[hrs/sem 
accordées]])=0,"",IF(COUNTA(EBS[[#This Row],[Initiales]:[hrs/sem 
accordées]])=5,"","&lt;-- Veuillez compléter tous les champs"))</f>
        <v/>
      </c>
    </row>
    <row r="94" spans="2:10" x14ac:dyDescent="0.25">
      <c r="B94" s="7">
        <v>86</v>
      </c>
      <c r="C94" s="8"/>
      <c r="D94" s="8"/>
      <c r="E94" s="10"/>
      <c r="F94" s="10"/>
      <c r="G94" s="8"/>
      <c r="H94" s="190" t="str">
        <f>IF(COUNTA(EBS[[#This Row],[Initiales]:[hrs/sem 
accordées]])=5,(WEEKNUM(EBS[[#This Row],[au]])-WEEKNUM(EBS[[#This Row],[du]]))*EBS[[#This Row],[hrs/sem 
accordées]],"")</f>
        <v/>
      </c>
      <c r="J94" s="73" t="str">
        <f>IF(COUNTA(EBS[[#This Row],[Initiales]:[hrs/sem 
accordées]])=0,"",IF(COUNTA(EBS[[#This Row],[Initiales]:[hrs/sem 
accordées]])=5,"","&lt;-- Veuillez compléter tous les champs"))</f>
        <v/>
      </c>
    </row>
    <row r="95" spans="2:10" x14ac:dyDescent="0.25">
      <c r="B95" s="7">
        <v>87</v>
      </c>
      <c r="C95" s="8"/>
      <c r="D95" s="8"/>
      <c r="E95" s="10"/>
      <c r="F95" s="10"/>
      <c r="G95" s="8"/>
      <c r="H95" s="190" t="str">
        <f>IF(COUNTA(EBS[[#This Row],[Initiales]:[hrs/sem 
accordées]])=5,(WEEKNUM(EBS[[#This Row],[au]])-WEEKNUM(EBS[[#This Row],[du]]))*EBS[[#This Row],[hrs/sem 
accordées]],"")</f>
        <v/>
      </c>
      <c r="J95" s="73" t="str">
        <f>IF(COUNTA(EBS[[#This Row],[Initiales]:[hrs/sem 
accordées]])=0,"",IF(COUNTA(EBS[[#This Row],[Initiales]:[hrs/sem 
accordées]])=5,"","&lt;-- Veuillez compléter tous les champs"))</f>
        <v/>
      </c>
    </row>
    <row r="96" spans="2:10" x14ac:dyDescent="0.25">
      <c r="B96" s="7">
        <v>88</v>
      </c>
      <c r="C96" s="8"/>
      <c r="D96" s="8"/>
      <c r="E96" s="10"/>
      <c r="F96" s="10"/>
      <c r="G96" s="8"/>
      <c r="H96" s="190" t="str">
        <f>IF(COUNTA(EBS[[#This Row],[Initiales]:[hrs/sem 
accordées]])=5,(WEEKNUM(EBS[[#This Row],[au]])-WEEKNUM(EBS[[#This Row],[du]]))*EBS[[#This Row],[hrs/sem 
accordées]],"")</f>
        <v/>
      </c>
      <c r="J96" s="73" t="str">
        <f>IF(COUNTA(EBS[[#This Row],[Initiales]:[hrs/sem 
accordées]])=0,"",IF(COUNTA(EBS[[#This Row],[Initiales]:[hrs/sem 
accordées]])=5,"","&lt;-- Veuillez compléter tous les champs"))</f>
        <v/>
      </c>
    </row>
    <row r="97" spans="2:10" x14ac:dyDescent="0.25">
      <c r="B97" s="7">
        <v>89</v>
      </c>
      <c r="C97" s="8"/>
      <c r="D97" s="8"/>
      <c r="E97" s="10"/>
      <c r="F97" s="10"/>
      <c r="G97" s="8"/>
      <c r="H97" s="190" t="str">
        <f>IF(COUNTA(EBS[[#This Row],[Initiales]:[hrs/sem 
accordées]])=5,(WEEKNUM(EBS[[#This Row],[au]])-WEEKNUM(EBS[[#This Row],[du]]))*EBS[[#This Row],[hrs/sem 
accordées]],"")</f>
        <v/>
      </c>
      <c r="J97" s="73" t="str">
        <f>IF(COUNTA(EBS[[#This Row],[Initiales]:[hrs/sem 
accordées]])=0,"",IF(COUNTA(EBS[[#This Row],[Initiales]:[hrs/sem 
accordées]])=5,"","&lt;-- Veuillez compléter tous les champs"))</f>
        <v/>
      </c>
    </row>
    <row r="98" spans="2:10" x14ac:dyDescent="0.25">
      <c r="B98" s="7">
        <v>90</v>
      </c>
      <c r="C98" s="8"/>
      <c r="D98" s="8"/>
      <c r="E98" s="10"/>
      <c r="F98" s="10"/>
      <c r="G98" s="8"/>
      <c r="H98" s="190" t="str">
        <f>IF(COUNTA(EBS[[#This Row],[Initiales]:[hrs/sem 
accordées]])=5,(WEEKNUM(EBS[[#This Row],[au]])-WEEKNUM(EBS[[#This Row],[du]]))*EBS[[#This Row],[hrs/sem 
accordées]],"")</f>
        <v/>
      </c>
      <c r="J98" s="73" t="str">
        <f>IF(COUNTA(EBS[[#This Row],[Initiales]:[hrs/sem 
accordées]])=0,"",IF(COUNTA(EBS[[#This Row],[Initiales]:[hrs/sem 
accordées]])=5,"","&lt;-- Veuillez compléter tous les champs"))</f>
        <v/>
      </c>
    </row>
    <row r="99" spans="2:10" x14ac:dyDescent="0.25">
      <c r="B99" s="7">
        <v>91</v>
      </c>
      <c r="C99" s="8"/>
      <c r="D99" s="8"/>
      <c r="E99" s="10"/>
      <c r="F99" s="10"/>
      <c r="G99" s="8"/>
      <c r="H99" s="190" t="str">
        <f>IF(COUNTA(EBS[[#This Row],[Initiales]:[hrs/sem 
accordées]])=5,(WEEKNUM(EBS[[#This Row],[au]])-WEEKNUM(EBS[[#This Row],[du]]))*EBS[[#This Row],[hrs/sem 
accordées]],"")</f>
        <v/>
      </c>
      <c r="J99" s="73" t="str">
        <f>IF(COUNTA(EBS[[#This Row],[Initiales]:[hrs/sem 
accordées]])=0,"",IF(COUNTA(EBS[[#This Row],[Initiales]:[hrs/sem 
accordées]])=5,"","&lt;-- Veuillez compléter tous les champs"))</f>
        <v/>
      </c>
    </row>
    <row r="100" spans="2:10" x14ac:dyDescent="0.25">
      <c r="B100" s="7">
        <v>92</v>
      </c>
      <c r="C100" s="8"/>
      <c r="D100" s="8"/>
      <c r="E100" s="10"/>
      <c r="F100" s="10"/>
      <c r="G100" s="8"/>
      <c r="H100" s="190" t="str">
        <f>IF(COUNTA(EBS[[#This Row],[Initiales]:[hrs/sem 
accordées]])=5,(WEEKNUM(EBS[[#This Row],[au]])-WEEKNUM(EBS[[#This Row],[du]]))*EBS[[#This Row],[hrs/sem 
accordées]],"")</f>
        <v/>
      </c>
      <c r="J100" s="73" t="str">
        <f>IF(COUNTA(EBS[[#This Row],[Initiales]:[hrs/sem 
accordées]])=0,"",IF(COUNTA(EBS[[#This Row],[Initiales]:[hrs/sem 
accordées]])=5,"","&lt;-- Veuillez compléter tous les champs"))</f>
        <v/>
      </c>
    </row>
    <row r="101" spans="2:10" x14ac:dyDescent="0.25">
      <c r="B101" s="7">
        <v>93</v>
      </c>
      <c r="C101" s="8"/>
      <c r="D101" s="8"/>
      <c r="E101" s="10"/>
      <c r="F101" s="10"/>
      <c r="G101" s="8"/>
      <c r="H101" s="190" t="str">
        <f>IF(COUNTA(EBS[[#This Row],[Initiales]:[hrs/sem 
accordées]])=5,(WEEKNUM(EBS[[#This Row],[au]])-WEEKNUM(EBS[[#This Row],[du]]))*EBS[[#This Row],[hrs/sem 
accordées]],"")</f>
        <v/>
      </c>
      <c r="J101" s="73" t="str">
        <f>IF(COUNTA(EBS[[#This Row],[Initiales]:[hrs/sem 
accordées]])=0,"",IF(COUNTA(EBS[[#This Row],[Initiales]:[hrs/sem 
accordées]])=5,"","&lt;-- Veuillez compléter tous les champs"))</f>
        <v/>
      </c>
    </row>
    <row r="102" spans="2:10" x14ac:dyDescent="0.25">
      <c r="B102" s="7">
        <v>94</v>
      </c>
      <c r="C102" s="8"/>
      <c r="D102" s="8"/>
      <c r="E102" s="10"/>
      <c r="F102" s="10"/>
      <c r="G102" s="8"/>
      <c r="H102" s="190" t="str">
        <f>IF(COUNTA(EBS[[#This Row],[Initiales]:[hrs/sem 
accordées]])=5,(WEEKNUM(EBS[[#This Row],[au]])-WEEKNUM(EBS[[#This Row],[du]]))*EBS[[#This Row],[hrs/sem 
accordées]],"")</f>
        <v/>
      </c>
      <c r="J102" s="73" t="str">
        <f>IF(COUNTA(EBS[[#This Row],[Initiales]:[hrs/sem 
accordées]])=0,"",IF(COUNTA(EBS[[#This Row],[Initiales]:[hrs/sem 
accordées]])=5,"","&lt;-- Veuillez compléter tous les champs"))</f>
        <v/>
      </c>
    </row>
    <row r="103" spans="2:10" x14ac:dyDescent="0.25">
      <c r="B103" s="7">
        <v>95</v>
      </c>
      <c r="C103" s="8"/>
      <c r="D103" s="8"/>
      <c r="E103" s="10"/>
      <c r="F103" s="10"/>
      <c r="G103" s="8"/>
      <c r="H103" s="190" t="str">
        <f>IF(COUNTA(EBS[[#This Row],[Initiales]:[hrs/sem 
accordées]])=5,(WEEKNUM(EBS[[#This Row],[au]])-WEEKNUM(EBS[[#This Row],[du]]))*EBS[[#This Row],[hrs/sem 
accordées]],"")</f>
        <v/>
      </c>
      <c r="J103" s="73" t="str">
        <f>IF(COUNTA(EBS[[#This Row],[Initiales]:[hrs/sem 
accordées]])=0,"",IF(COUNTA(EBS[[#This Row],[Initiales]:[hrs/sem 
accordées]])=5,"","&lt;-- Veuillez compléter tous les champs"))</f>
        <v/>
      </c>
    </row>
    <row r="104" spans="2:10" x14ac:dyDescent="0.25">
      <c r="B104" s="7">
        <v>96</v>
      </c>
      <c r="C104" s="8"/>
      <c r="D104" s="8"/>
      <c r="E104" s="10"/>
      <c r="F104" s="10"/>
      <c r="G104" s="8"/>
      <c r="H104" s="190" t="str">
        <f>IF(COUNTA(EBS[[#This Row],[Initiales]:[hrs/sem 
accordées]])=5,(WEEKNUM(EBS[[#This Row],[au]])-WEEKNUM(EBS[[#This Row],[du]]))*EBS[[#This Row],[hrs/sem 
accordées]],"")</f>
        <v/>
      </c>
      <c r="J104" s="73" t="str">
        <f>IF(COUNTA(EBS[[#This Row],[Initiales]:[hrs/sem 
accordées]])=0,"",IF(COUNTA(EBS[[#This Row],[Initiales]:[hrs/sem 
accordées]])=5,"","&lt;-- Veuillez compléter tous les champs"))</f>
        <v/>
      </c>
    </row>
    <row r="105" spans="2:10" x14ac:dyDescent="0.25">
      <c r="B105" s="7">
        <v>97</v>
      </c>
      <c r="C105" s="8"/>
      <c r="D105" s="8"/>
      <c r="E105" s="10"/>
      <c r="F105" s="10"/>
      <c r="G105" s="8"/>
      <c r="H105" s="190" t="str">
        <f>IF(COUNTA(EBS[[#This Row],[Initiales]:[hrs/sem 
accordées]])=5,(WEEKNUM(EBS[[#This Row],[au]])-WEEKNUM(EBS[[#This Row],[du]]))*EBS[[#This Row],[hrs/sem 
accordées]],"")</f>
        <v/>
      </c>
      <c r="J105" s="73" t="str">
        <f>IF(COUNTA(EBS[[#This Row],[Initiales]:[hrs/sem 
accordées]])=0,"",IF(COUNTA(EBS[[#This Row],[Initiales]:[hrs/sem 
accordées]])=5,"","&lt;-- Veuillez compléter tous les champs"))</f>
        <v/>
      </c>
    </row>
    <row r="106" spans="2:10" x14ac:dyDescent="0.25">
      <c r="B106" s="7">
        <v>98</v>
      </c>
      <c r="C106" s="8"/>
      <c r="D106" s="8"/>
      <c r="E106" s="10"/>
      <c r="F106" s="10"/>
      <c r="G106" s="8"/>
      <c r="H106" s="190" t="str">
        <f>IF(COUNTA(EBS[[#This Row],[Initiales]:[hrs/sem 
accordées]])=5,(WEEKNUM(EBS[[#This Row],[au]])-WEEKNUM(EBS[[#This Row],[du]]))*EBS[[#This Row],[hrs/sem 
accordées]],"")</f>
        <v/>
      </c>
      <c r="J106" s="73" t="str">
        <f>IF(COUNTA(EBS[[#This Row],[Initiales]:[hrs/sem 
accordées]])=0,"",IF(COUNTA(EBS[[#This Row],[Initiales]:[hrs/sem 
accordées]])=5,"","&lt;-- Veuillez compléter tous les champs"))</f>
        <v/>
      </c>
    </row>
    <row r="107" spans="2:10" x14ac:dyDescent="0.25">
      <c r="B107" s="7">
        <v>99</v>
      </c>
      <c r="C107" s="8"/>
      <c r="D107" s="8"/>
      <c r="E107" s="10"/>
      <c r="F107" s="10"/>
      <c r="G107" s="8"/>
      <c r="H107" s="190" t="str">
        <f>IF(COUNTA(EBS[[#This Row],[Initiales]:[hrs/sem 
accordées]])=5,(WEEKNUM(EBS[[#This Row],[au]])-WEEKNUM(EBS[[#This Row],[du]]))*EBS[[#This Row],[hrs/sem 
accordées]],"")</f>
        <v/>
      </c>
      <c r="J107" s="73" t="str">
        <f>IF(COUNTA(EBS[[#This Row],[Initiales]:[hrs/sem 
accordées]])=0,"",IF(COUNTA(EBS[[#This Row],[Initiales]:[hrs/sem 
accordées]])=5,"","&lt;-- Veuillez compléter tous les champs"))</f>
        <v/>
      </c>
    </row>
    <row r="108" spans="2:10" x14ac:dyDescent="0.25">
      <c r="B108" s="7">
        <v>100</v>
      </c>
      <c r="C108" s="8"/>
      <c r="D108" s="8"/>
      <c r="E108" s="10"/>
      <c r="F108" s="10"/>
      <c r="G108" s="8"/>
      <c r="H108" s="190" t="str">
        <f>IF(COUNTA(EBS[[#This Row],[Initiales]:[hrs/sem 
accordées]])=5,(WEEKNUM(EBS[[#This Row],[au]])-WEEKNUM(EBS[[#This Row],[du]]))*EBS[[#This Row],[hrs/sem 
accordées]],"")</f>
        <v/>
      </c>
      <c r="J108" s="73" t="str">
        <f>IF(COUNTA(EBS[[#This Row],[Initiales]:[hrs/sem 
accordées]])=0,"",IF(COUNTA(EBS[[#This Row],[Initiales]:[hrs/sem 
accordées]])=5,"","&lt;-- Veuillez compléter tous les champs"))</f>
        <v/>
      </c>
    </row>
    <row r="109" spans="2:10" x14ac:dyDescent="0.25">
      <c r="B109" s="7" t="s">
        <v>33</v>
      </c>
      <c r="C109" s="7"/>
      <c r="D109" s="7"/>
      <c r="E109" s="7"/>
      <c r="F109" s="7"/>
      <c r="G109" s="7">
        <f>SUBTOTAL(109,EBS[hrs/sem 
accordées])</f>
        <v>0</v>
      </c>
      <c r="H109" s="249">
        <f>SUBTOTAL(109,EBS[heures annuelles])</f>
        <v>0</v>
      </c>
    </row>
  </sheetData>
  <sheetProtection algorithmName="SHA-512" hashValue="JUbRDBUJCOWmCUyO5rlIY3WJ40uqaSJhSuewLtuJcWt6uf9jPXocdVBrDSwaTMNDlyEjIsC7oMWd+o0L4LzE7Q==" saltValue="7Q1gtdohDEG6LAdTw5Kwgg==" spinCount="100000" sheet="1" selectLockedCells="1" autoFilter="0"/>
  <pageMargins left="0.70866141732283472" right="0.70866141732283472" top="0.74803149606299213" bottom="0.74803149606299213" header="0.31496062992125984" footer="0.31496062992125984"/>
  <pageSetup paperSize="9" scale="69" fitToHeight="0" orientation="portrait" r:id="rId1"/>
  <headerFooter>
    <oddHeader>&amp;C&amp;A</oddHeader>
    <oddFooter>&amp;R&amp;P/&amp;N</oddFooter>
  </headerFooter>
  <drawing r:id="rId2"/>
  <tableParts count="1">
    <tablePart r:id="rId3"/>
  </tablePart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1000000}">
          <x14:formula1>
            <xm:f>'Variable et Dropdowns'!$L$2:$L$3</xm:f>
          </x14:formula1>
          <xm:sqref>D9:D108</xm:sqref>
        </x14:dataValidation>
        <x14:dataValidation type="date" allowBlank="1" showInputMessage="1" showErrorMessage="1" xr:uid="{00000000-0002-0000-0400-000000000000}">
          <x14:formula1>
            <xm:f>DATE('Informations générales 1'!$C$10,1,1)</xm:f>
          </x14:formula1>
          <x14:formula2>
            <xm:f>DATE('Informations générales 1'!$C$10,12,31)</xm:f>
          </x14:formula2>
          <xm:sqref>E9:F108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8" tint="0.59999389629810485"/>
    <pageSetUpPr fitToPage="1"/>
  </sheetPr>
  <dimension ref="B1:G502"/>
  <sheetViews>
    <sheetView zoomScale="85" zoomScaleNormal="85" workbookViewId="0">
      <selection activeCell="E9" sqref="E9"/>
    </sheetView>
  </sheetViews>
  <sheetFormatPr defaultColWidth="9.140625" defaultRowHeight="15" x14ac:dyDescent="0.25"/>
  <cols>
    <col min="1" max="1" width="9.140625" style="2"/>
    <col min="2" max="2" width="20.85546875" style="2" customWidth="1"/>
    <col min="3" max="3" width="120.28515625" style="2" bestFit="1" customWidth="1"/>
    <col min="4" max="4" width="21.7109375" style="452" customWidth="1"/>
    <col min="5" max="5" width="37.42578125" style="2" bestFit="1" customWidth="1"/>
    <col min="6" max="6" width="75.42578125" style="2" hidden="1" customWidth="1"/>
    <col min="7" max="7" width="15.28515625" style="2" customWidth="1"/>
    <col min="8" max="16384" width="9.140625" style="2"/>
  </cols>
  <sheetData>
    <row r="1" spans="2:7" x14ac:dyDescent="0.25">
      <c r="B1" s="11" t="str">
        <f>'Informations générales 1'!B7</f>
        <v>DECOMPTE ANNUEL</v>
      </c>
    </row>
    <row r="2" spans="2:7" x14ac:dyDescent="0.25">
      <c r="B2" s="11" t="str">
        <f>'Informations générales 1'!C20&amp;" - "&amp;'Informations générales 1'!C24</f>
        <v>Nom Gestionnaire - Nom SEA</v>
      </c>
    </row>
    <row r="3" spans="2:7" x14ac:dyDescent="0.25">
      <c r="B3" s="20">
        <f>'Informations générales 1'!C10</f>
        <v>2020</v>
      </c>
    </row>
    <row r="5" spans="2:7" x14ac:dyDescent="0.25">
      <c r="B5" s="11" t="str">
        <f>"DETAIL DES FRAIS DE FONCTIONNEMENT POUR "&amp;'Informations générales 1'!C10</f>
        <v>DETAIL DES FRAIS DE FONCTIONNEMENT POUR 2020</v>
      </c>
    </row>
    <row r="6" spans="2:7" x14ac:dyDescent="0.25">
      <c r="B6" s="11"/>
      <c r="C6" s="250" t="s">
        <v>337</v>
      </c>
      <c r="D6" s="453">
        <f>SUM(Fonctionnement[Montant])</f>
        <v>0</v>
      </c>
    </row>
    <row r="7" spans="2:7" x14ac:dyDescent="0.25">
      <c r="C7" s="250" t="s">
        <v>418</v>
      </c>
      <c r="D7" s="453">
        <f>Fonctionnement[[#Totals],[Montant]]</f>
        <v>0</v>
      </c>
    </row>
    <row r="8" spans="2:7" x14ac:dyDescent="0.25">
      <c r="B8" s="29" t="s">
        <v>94</v>
      </c>
      <c r="C8" s="29" t="s">
        <v>95</v>
      </c>
      <c r="D8" s="454" t="s">
        <v>96</v>
      </c>
      <c r="E8" s="29" t="s">
        <v>97</v>
      </c>
      <c r="F8" s="29" t="s">
        <v>373</v>
      </c>
      <c r="G8" s="29" t="s">
        <v>98</v>
      </c>
    </row>
    <row r="9" spans="2:7" x14ac:dyDescent="0.25">
      <c r="B9" s="8"/>
      <c r="C9" s="8"/>
      <c r="D9" s="455"/>
      <c r="E9" s="252"/>
      <c r="F9" s="252"/>
      <c r="G9" s="253"/>
    </row>
    <row r="10" spans="2:7" x14ac:dyDescent="0.25">
      <c r="B10" s="8"/>
      <c r="C10" s="8"/>
      <c r="D10" s="455"/>
      <c r="E10" s="252"/>
      <c r="F10" s="252"/>
      <c r="G10" s="253"/>
    </row>
    <row r="11" spans="2:7" x14ac:dyDescent="0.25">
      <c r="B11" s="8"/>
      <c r="C11" s="8"/>
      <c r="D11" s="455"/>
      <c r="E11" s="252"/>
      <c r="F11" s="252"/>
      <c r="G11" s="253"/>
    </row>
    <row r="12" spans="2:7" x14ac:dyDescent="0.25">
      <c r="B12" s="8"/>
      <c r="C12" s="8"/>
      <c r="D12" s="455"/>
      <c r="E12" s="252"/>
      <c r="F12" s="252"/>
      <c r="G12" s="253"/>
    </row>
    <row r="13" spans="2:7" x14ac:dyDescent="0.25">
      <c r="B13" s="8"/>
      <c r="C13" s="8"/>
      <c r="D13" s="455"/>
      <c r="E13" s="252"/>
      <c r="F13" s="252"/>
      <c r="G13" s="253"/>
    </row>
    <row r="14" spans="2:7" x14ac:dyDescent="0.25">
      <c r="B14" s="8"/>
      <c r="C14" s="8"/>
      <c r="D14" s="455"/>
      <c r="E14" s="252"/>
      <c r="F14" s="252"/>
      <c r="G14" s="253"/>
    </row>
    <row r="15" spans="2:7" x14ac:dyDescent="0.25">
      <c r="B15" s="8"/>
      <c r="C15" s="8"/>
      <c r="D15" s="455"/>
      <c r="E15" s="252"/>
      <c r="F15" s="252"/>
      <c r="G15" s="253"/>
    </row>
    <row r="16" spans="2:7" x14ac:dyDescent="0.25">
      <c r="B16" s="8"/>
      <c r="C16" s="8"/>
      <c r="D16" s="455"/>
      <c r="E16" s="252"/>
      <c r="F16" s="252"/>
      <c r="G16" s="253"/>
    </row>
    <row r="17" spans="2:7" x14ac:dyDescent="0.25">
      <c r="B17" s="8"/>
      <c r="C17" s="8"/>
      <c r="D17" s="455"/>
      <c r="E17" s="252"/>
      <c r="F17" s="252"/>
      <c r="G17" s="253"/>
    </row>
    <row r="18" spans="2:7" x14ac:dyDescent="0.25">
      <c r="B18" s="8"/>
      <c r="C18" s="8"/>
      <c r="D18" s="455"/>
      <c r="E18" s="252"/>
      <c r="F18" s="252"/>
      <c r="G18" s="253"/>
    </row>
    <row r="19" spans="2:7" x14ac:dyDescent="0.25">
      <c r="B19" s="8"/>
      <c r="C19" s="8"/>
      <c r="D19" s="455"/>
      <c r="E19" s="252"/>
      <c r="F19" s="252"/>
      <c r="G19" s="253"/>
    </row>
    <row r="20" spans="2:7" x14ac:dyDescent="0.25">
      <c r="B20" s="8"/>
      <c r="C20" s="8"/>
      <c r="D20" s="455"/>
      <c r="E20" s="252"/>
      <c r="F20" s="252"/>
      <c r="G20" s="253"/>
    </row>
    <row r="21" spans="2:7" x14ac:dyDescent="0.25">
      <c r="B21" s="8"/>
      <c r="C21" s="8"/>
      <c r="D21" s="455"/>
      <c r="E21" s="252"/>
      <c r="F21" s="252"/>
      <c r="G21" s="253"/>
    </row>
    <row r="22" spans="2:7" x14ac:dyDescent="0.25">
      <c r="B22" s="8"/>
      <c r="C22" s="8"/>
      <c r="D22" s="455"/>
      <c r="E22" s="252"/>
      <c r="F22" s="252"/>
      <c r="G22" s="253"/>
    </row>
    <row r="23" spans="2:7" x14ac:dyDescent="0.25">
      <c r="B23" s="8"/>
      <c r="C23" s="8"/>
      <c r="D23" s="455"/>
      <c r="E23" s="252"/>
      <c r="F23" s="252"/>
      <c r="G23" s="253"/>
    </row>
    <row r="24" spans="2:7" x14ac:dyDescent="0.25">
      <c r="B24" s="8"/>
      <c r="C24" s="8"/>
      <c r="D24" s="455"/>
      <c r="E24" s="252"/>
      <c r="F24" s="252"/>
      <c r="G24" s="253"/>
    </row>
    <row r="25" spans="2:7" x14ac:dyDescent="0.25">
      <c r="B25" s="8"/>
      <c r="C25" s="8"/>
      <c r="D25" s="455"/>
      <c r="E25" s="252"/>
      <c r="F25" s="252"/>
      <c r="G25" s="253"/>
    </row>
    <row r="26" spans="2:7" x14ac:dyDescent="0.25">
      <c r="B26" s="8"/>
      <c r="C26" s="8"/>
      <c r="D26" s="455"/>
      <c r="E26" s="252"/>
      <c r="F26" s="252"/>
      <c r="G26" s="253"/>
    </row>
    <row r="27" spans="2:7" x14ac:dyDescent="0.25">
      <c r="B27" s="8"/>
      <c r="C27" s="8"/>
      <c r="D27" s="455"/>
      <c r="E27" s="252"/>
      <c r="F27" s="252"/>
      <c r="G27" s="253"/>
    </row>
    <row r="28" spans="2:7" x14ac:dyDescent="0.25">
      <c r="B28" s="8"/>
      <c r="C28" s="8"/>
      <c r="D28" s="455"/>
      <c r="E28" s="252"/>
      <c r="F28" s="252"/>
      <c r="G28" s="253"/>
    </row>
    <row r="29" spans="2:7" x14ac:dyDescent="0.25">
      <c r="B29" s="8"/>
      <c r="C29" s="8"/>
      <c r="D29" s="455"/>
      <c r="E29" s="252"/>
      <c r="F29" s="252"/>
      <c r="G29" s="253"/>
    </row>
    <row r="30" spans="2:7" x14ac:dyDescent="0.25">
      <c r="B30" s="8"/>
      <c r="C30" s="8"/>
      <c r="D30" s="455"/>
      <c r="E30" s="252"/>
      <c r="F30" s="252"/>
      <c r="G30" s="253"/>
    </row>
    <row r="31" spans="2:7" x14ac:dyDescent="0.25">
      <c r="B31" s="8"/>
      <c r="C31" s="8"/>
      <c r="D31" s="455"/>
      <c r="E31" s="252"/>
      <c r="F31" s="252"/>
      <c r="G31" s="253"/>
    </row>
    <row r="32" spans="2:7" x14ac:dyDescent="0.25">
      <c r="B32" s="8"/>
      <c r="C32" s="8"/>
      <c r="D32" s="455"/>
      <c r="E32" s="252"/>
      <c r="F32" s="252"/>
      <c r="G32" s="253"/>
    </row>
    <row r="33" spans="2:7" x14ac:dyDescent="0.25">
      <c r="B33" s="8"/>
      <c r="C33" s="8"/>
      <c r="D33" s="455"/>
      <c r="E33" s="252"/>
      <c r="F33" s="252"/>
      <c r="G33" s="253"/>
    </row>
    <row r="34" spans="2:7" x14ac:dyDescent="0.25">
      <c r="B34" s="8"/>
      <c r="C34" s="8"/>
      <c r="D34" s="455"/>
      <c r="E34" s="252"/>
      <c r="F34" s="252"/>
      <c r="G34" s="253"/>
    </row>
    <row r="35" spans="2:7" x14ac:dyDescent="0.25">
      <c r="B35" s="8"/>
      <c r="C35" s="8"/>
      <c r="D35" s="455"/>
      <c r="E35" s="252"/>
      <c r="F35" s="252"/>
      <c r="G35" s="253"/>
    </row>
    <row r="36" spans="2:7" x14ac:dyDescent="0.25">
      <c r="B36" s="8"/>
      <c r="C36" s="8"/>
      <c r="D36" s="455"/>
      <c r="E36" s="252"/>
      <c r="F36" s="252"/>
      <c r="G36" s="253"/>
    </row>
    <row r="37" spans="2:7" x14ac:dyDescent="0.25">
      <c r="B37" s="8"/>
      <c r="C37" s="8"/>
      <c r="D37" s="455"/>
      <c r="E37" s="252"/>
      <c r="F37" s="252"/>
      <c r="G37" s="253"/>
    </row>
    <row r="38" spans="2:7" x14ac:dyDescent="0.25">
      <c r="B38" s="8"/>
      <c r="C38" s="8"/>
      <c r="D38" s="455"/>
      <c r="E38" s="252"/>
      <c r="F38" s="252"/>
      <c r="G38" s="253"/>
    </row>
    <row r="39" spans="2:7" x14ac:dyDescent="0.25">
      <c r="B39" s="8"/>
      <c r="C39" s="8"/>
      <c r="D39" s="455"/>
      <c r="E39" s="252"/>
      <c r="F39" s="252"/>
      <c r="G39" s="253"/>
    </row>
    <row r="40" spans="2:7" x14ac:dyDescent="0.25">
      <c r="B40" s="8"/>
      <c r="C40" s="8"/>
      <c r="D40" s="455"/>
      <c r="E40" s="252"/>
      <c r="F40" s="252"/>
      <c r="G40" s="253"/>
    </row>
    <row r="41" spans="2:7" x14ac:dyDescent="0.25">
      <c r="B41" s="8"/>
      <c r="C41" s="8"/>
      <c r="D41" s="455"/>
      <c r="E41" s="252"/>
      <c r="F41" s="252"/>
      <c r="G41" s="253"/>
    </row>
    <row r="42" spans="2:7" x14ac:dyDescent="0.25">
      <c r="B42" s="8"/>
      <c r="C42" s="8"/>
      <c r="D42" s="455"/>
      <c r="E42" s="252"/>
      <c r="F42" s="252"/>
      <c r="G42" s="253"/>
    </row>
    <row r="43" spans="2:7" x14ac:dyDescent="0.25">
      <c r="B43" s="8"/>
      <c r="C43" s="8"/>
      <c r="D43" s="455"/>
      <c r="E43" s="252"/>
      <c r="F43" s="252"/>
      <c r="G43" s="253"/>
    </row>
    <row r="44" spans="2:7" x14ac:dyDescent="0.25">
      <c r="B44" s="8"/>
      <c r="C44" s="8"/>
      <c r="D44" s="455"/>
      <c r="E44" s="252"/>
      <c r="F44" s="252"/>
      <c r="G44" s="253"/>
    </row>
    <row r="45" spans="2:7" x14ac:dyDescent="0.25">
      <c r="B45" s="8"/>
      <c r="C45" s="8"/>
      <c r="D45" s="455"/>
      <c r="E45" s="252"/>
      <c r="F45" s="252"/>
      <c r="G45" s="253"/>
    </row>
    <row r="46" spans="2:7" x14ac:dyDescent="0.25">
      <c r="B46" s="8"/>
      <c r="C46" s="8"/>
      <c r="D46" s="455"/>
      <c r="E46" s="252"/>
      <c r="F46" s="252"/>
      <c r="G46" s="253"/>
    </row>
    <row r="47" spans="2:7" x14ac:dyDescent="0.25">
      <c r="B47" s="8"/>
      <c r="C47" s="8"/>
      <c r="D47" s="455"/>
      <c r="E47" s="252"/>
      <c r="F47" s="252"/>
      <c r="G47" s="253"/>
    </row>
    <row r="48" spans="2:7" x14ac:dyDescent="0.25">
      <c r="B48" s="8"/>
      <c r="C48" s="8"/>
      <c r="D48" s="455"/>
      <c r="E48" s="252"/>
      <c r="F48" s="252"/>
      <c r="G48" s="253"/>
    </row>
    <row r="49" spans="2:7" x14ac:dyDescent="0.25">
      <c r="B49" s="8"/>
      <c r="C49" s="8"/>
      <c r="D49" s="455"/>
      <c r="E49" s="252"/>
      <c r="F49" s="252"/>
      <c r="G49" s="253"/>
    </row>
    <row r="50" spans="2:7" x14ac:dyDescent="0.25">
      <c r="B50" s="8"/>
      <c r="C50" s="8"/>
      <c r="D50" s="455"/>
      <c r="E50" s="252"/>
      <c r="F50" s="252"/>
      <c r="G50" s="253"/>
    </row>
    <row r="51" spans="2:7" x14ac:dyDescent="0.25">
      <c r="B51" s="8"/>
      <c r="C51" s="8"/>
      <c r="D51" s="455"/>
      <c r="E51" s="252"/>
      <c r="F51" s="252"/>
      <c r="G51" s="253"/>
    </row>
    <row r="52" spans="2:7" x14ac:dyDescent="0.25">
      <c r="B52" s="8"/>
      <c r="C52" s="8"/>
      <c r="D52" s="455"/>
      <c r="E52" s="252"/>
      <c r="F52" s="252"/>
      <c r="G52" s="253"/>
    </row>
    <row r="53" spans="2:7" x14ac:dyDescent="0.25">
      <c r="B53" s="8"/>
      <c r="C53" s="8"/>
      <c r="D53" s="455"/>
      <c r="E53" s="252"/>
      <c r="F53" s="252"/>
      <c r="G53" s="253"/>
    </row>
    <row r="54" spans="2:7" x14ac:dyDescent="0.25">
      <c r="B54" s="8"/>
      <c r="C54" s="8"/>
      <c r="D54" s="455"/>
      <c r="E54" s="252"/>
      <c r="F54" s="252"/>
      <c r="G54" s="253"/>
    </row>
    <row r="55" spans="2:7" x14ac:dyDescent="0.25">
      <c r="B55" s="8"/>
      <c r="C55" s="8"/>
      <c r="D55" s="455"/>
      <c r="E55" s="252"/>
      <c r="F55" s="252"/>
      <c r="G55" s="253"/>
    </row>
    <row r="56" spans="2:7" x14ac:dyDescent="0.25">
      <c r="B56" s="8"/>
      <c r="C56" s="8"/>
      <c r="D56" s="455"/>
      <c r="E56" s="252"/>
      <c r="F56" s="252"/>
      <c r="G56" s="253"/>
    </row>
    <row r="57" spans="2:7" x14ac:dyDescent="0.25">
      <c r="B57" s="8"/>
      <c r="C57" s="8"/>
      <c r="D57" s="455"/>
      <c r="E57" s="252"/>
      <c r="F57" s="252"/>
      <c r="G57" s="253"/>
    </row>
    <row r="58" spans="2:7" x14ac:dyDescent="0.25">
      <c r="B58" s="8"/>
      <c r="C58" s="8"/>
      <c r="D58" s="455"/>
      <c r="E58" s="252"/>
      <c r="F58" s="252"/>
      <c r="G58" s="253"/>
    </row>
    <row r="59" spans="2:7" x14ac:dyDescent="0.25">
      <c r="B59" s="8"/>
      <c r="C59" s="8"/>
      <c r="D59" s="455"/>
      <c r="E59" s="252"/>
      <c r="F59" s="252"/>
      <c r="G59" s="253"/>
    </row>
    <row r="60" spans="2:7" x14ac:dyDescent="0.25">
      <c r="B60" s="8"/>
      <c r="C60" s="8"/>
      <c r="D60" s="455"/>
      <c r="E60" s="252"/>
      <c r="F60" s="252"/>
      <c r="G60" s="253"/>
    </row>
    <row r="61" spans="2:7" x14ac:dyDescent="0.25">
      <c r="B61" s="8"/>
      <c r="C61" s="8"/>
      <c r="D61" s="455"/>
      <c r="E61" s="252"/>
      <c r="F61" s="252"/>
      <c r="G61" s="253"/>
    </row>
    <row r="62" spans="2:7" x14ac:dyDescent="0.25">
      <c r="B62" s="8"/>
      <c r="C62" s="8"/>
      <c r="D62" s="455"/>
      <c r="E62" s="252"/>
      <c r="F62" s="252"/>
      <c r="G62" s="253"/>
    </row>
    <row r="63" spans="2:7" x14ac:dyDescent="0.25">
      <c r="B63" s="8"/>
      <c r="C63" s="8"/>
      <c r="D63" s="455"/>
      <c r="E63" s="252"/>
      <c r="F63" s="252"/>
      <c r="G63" s="253"/>
    </row>
    <row r="64" spans="2:7" x14ac:dyDescent="0.25">
      <c r="B64" s="8"/>
      <c r="C64" s="8"/>
      <c r="D64" s="455"/>
      <c r="E64" s="252"/>
      <c r="F64" s="252"/>
      <c r="G64" s="253"/>
    </row>
    <row r="65" spans="2:7" x14ac:dyDescent="0.25">
      <c r="B65" s="8"/>
      <c r="C65" s="8"/>
      <c r="D65" s="455"/>
      <c r="E65" s="252"/>
      <c r="F65" s="252"/>
      <c r="G65" s="253"/>
    </row>
    <row r="66" spans="2:7" x14ac:dyDescent="0.25">
      <c r="B66" s="8"/>
      <c r="C66" s="8"/>
      <c r="D66" s="455"/>
      <c r="E66" s="252"/>
      <c r="F66" s="252"/>
      <c r="G66" s="253"/>
    </row>
    <row r="67" spans="2:7" x14ac:dyDescent="0.25">
      <c r="B67" s="8"/>
      <c r="C67" s="8"/>
      <c r="D67" s="455"/>
      <c r="E67" s="252"/>
      <c r="F67" s="252"/>
      <c r="G67" s="253"/>
    </row>
    <row r="68" spans="2:7" x14ac:dyDescent="0.25">
      <c r="B68" s="8"/>
      <c r="C68" s="8"/>
      <c r="D68" s="455"/>
      <c r="E68" s="252"/>
      <c r="F68" s="252"/>
      <c r="G68" s="253"/>
    </row>
    <row r="69" spans="2:7" x14ac:dyDescent="0.25">
      <c r="B69" s="8"/>
      <c r="C69" s="8"/>
      <c r="D69" s="455"/>
      <c r="E69" s="252"/>
      <c r="F69" s="252"/>
      <c r="G69" s="253"/>
    </row>
    <row r="70" spans="2:7" x14ac:dyDescent="0.25">
      <c r="B70" s="8"/>
      <c r="C70" s="8"/>
      <c r="D70" s="455"/>
      <c r="E70" s="252"/>
      <c r="F70" s="252"/>
      <c r="G70" s="253"/>
    </row>
    <row r="71" spans="2:7" x14ac:dyDescent="0.25">
      <c r="B71" s="8"/>
      <c r="C71" s="8"/>
      <c r="D71" s="455"/>
      <c r="E71" s="252"/>
      <c r="F71" s="252"/>
      <c r="G71" s="253"/>
    </row>
    <row r="72" spans="2:7" x14ac:dyDescent="0.25">
      <c r="B72" s="8"/>
      <c r="C72" s="8"/>
      <c r="D72" s="455"/>
      <c r="E72" s="252"/>
      <c r="F72" s="252"/>
      <c r="G72" s="253"/>
    </row>
    <row r="73" spans="2:7" x14ac:dyDescent="0.25">
      <c r="B73" s="8"/>
      <c r="C73" s="8"/>
      <c r="D73" s="455"/>
      <c r="E73" s="252"/>
      <c r="F73" s="252"/>
      <c r="G73" s="253"/>
    </row>
    <row r="74" spans="2:7" x14ac:dyDescent="0.25">
      <c r="B74" s="8"/>
      <c r="C74" s="8"/>
      <c r="D74" s="455"/>
      <c r="E74" s="252"/>
      <c r="F74" s="252"/>
      <c r="G74" s="253"/>
    </row>
    <row r="75" spans="2:7" x14ac:dyDescent="0.25">
      <c r="B75" s="8"/>
      <c r="C75" s="8"/>
      <c r="D75" s="455"/>
      <c r="E75" s="252"/>
      <c r="F75" s="252"/>
      <c r="G75" s="253"/>
    </row>
    <row r="76" spans="2:7" x14ac:dyDescent="0.25">
      <c r="B76" s="8"/>
      <c r="C76" s="8"/>
      <c r="D76" s="455"/>
      <c r="E76" s="252"/>
      <c r="F76" s="252"/>
      <c r="G76" s="253"/>
    </row>
    <row r="77" spans="2:7" x14ac:dyDescent="0.25">
      <c r="B77" s="8"/>
      <c r="C77" s="8"/>
      <c r="D77" s="455"/>
      <c r="E77" s="252"/>
      <c r="F77" s="252"/>
      <c r="G77" s="253"/>
    </row>
    <row r="78" spans="2:7" x14ac:dyDescent="0.25">
      <c r="B78" s="8"/>
      <c r="C78" s="8"/>
      <c r="D78" s="455"/>
      <c r="E78" s="252"/>
      <c r="F78" s="252"/>
      <c r="G78" s="253"/>
    </row>
    <row r="79" spans="2:7" x14ac:dyDescent="0.25">
      <c r="B79" s="8"/>
      <c r="C79" s="8"/>
      <c r="D79" s="455"/>
      <c r="E79" s="252"/>
      <c r="F79" s="252"/>
      <c r="G79" s="253"/>
    </row>
    <row r="80" spans="2:7" x14ac:dyDescent="0.25">
      <c r="B80" s="8"/>
      <c r="C80" s="8"/>
      <c r="D80" s="455"/>
      <c r="E80" s="252"/>
      <c r="F80" s="252"/>
      <c r="G80" s="253"/>
    </row>
    <row r="81" spans="2:7" x14ac:dyDescent="0.25">
      <c r="B81" s="8"/>
      <c r="C81" s="8"/>
      <c r="D81" s="455"/>
      <c r="E81" s="252"/>
      <c r="F81" s="252"/>
      <c r="G81" s="253"/>
    </row>
    <row r="82" spans="2:7" x14ac:dyDescent="0.25">
      <c r="B82" s="8"/>
      <c r="C82" s="8"/>
      <c r="D82" s="455"/>
      <c r="E82" s="252"/>
      <c r="F82" s="252"/>
      <c r="G82" s="253"/>
    </row>
    <row r="83" spans="2:7" x14ac:dyDescent="0.25">
      <c r="B83" s="8"/>
      <c r="C83" s="8"/>
      <c r="D83" s="455"/>
      <c r="E83" s="252"/>
      <c r="F83" s="252"/>
      <c r="G83" s="253"/>
    </row>
    <row r="84" spans="2:7" x14ac:dyDescent="0.25">
      <c r="B84" s="8"/>
      <c r="C84" s="8"/>
      <c r="D84" s="455"/>
      <c r="E84" s="252"/>
      <c r="F84" s="252"/>
      <c r="G84" s="253"/>
    </row>
    <row r="85" spans="2:7" x14ac:dyDescent="0.25">
      <c r="B85" s="8"/>
      <c r="C85" s="8"/>
      <c r="D85" s="455"/>
      <c r="E85" s="252"/>
      <c r="F85" s="252"/>
      <c r="G85" s="253"/>
    </row>
    <row r="86" spans="2:7" x14ac:dyDescent="0.25">
      <c r="B86" s="8"/>
      <c r="C86" s="8"/>
      <c r="D86" s="455"/>
      <c r="E86" s="252"/>
      <c r="F86" s="252"/>
      <c r="G86" s="253"/>
    </row>
    <row r="87" spans="2:7" x14ac:dyDescent="0.25">
      <c r="B87" s="8"/>
      <c r="C87" s="8"/>
      <c r="D87" s="455"/>
      <c r="E87" s="252"/>
      <c r="F87" s="252"/>
      <c r="G87" s="253"/>
    </row>
    <row r="88" spans="2:7" x14ac:dyDescent="0.25">
      <c r="B88" s="8"/>
      <c r="C88" s="8"/>
      <c r="D88" s="455"/>
      <c r="E88" s="252"/>
      <c r="F88" s="252"/>
      <c r="G88" s="253"/>
    </row>
    <row r="89" spans="2:7" x14ac:dyDescent="0.25">
      <c r="B89" s="8"/>
      <c r="C89" s="8"/>
      <c r="D89" s="455"/>
      <c r="E89" s="252"/>
      <c r="F89" s="252"/>
      <c r="G89" s="253"/>
    </row>
    <row r="90" spans="2:7" x14ac:dyDescent="0.25">
      <c r="B90" s="8"/>
      <c r="C90" s="8"/>
      <c r="D90" s="455"/>
      <c r="E90" s="252"/>
      <c r="F90" s="252"/>
      <c r="G90" s="253"/>
    </row>
    <row r="91" spans="2:7" x14ac:dyDescent="0.25">
      <c r="B91" s="8"/>
      <c r="C91" s="8"/>
      <c r="D91" s="455"/>
      <c r="E91" s="252"/>
      <c r="F91" s="252"/>
      <c r="G91" s="253"/>
    </row>
    <row r="92" spans="2:7" x14ac:dyDescent="0.25">
      <c r="B92" s="8"/>
      <c r="C92" s="8"/>
      <c r="D92" s="455"/>
      <c r="E92" s="252"/>
      <c r="F92" s="252"/>
      <c r="G92" s="253"/>
    </row>
    <row r="93" spans="2:7" x14ac:dyDescent="0.25">
      <c r="B93" s="8"/>
      <c r="C93" s="8"/>
      <c r="D93" s="455"/>
      <c r="E93" s="252"/>
      <c r="F93" s="252"/>
      <c r="G93" s="253"/>
    </row>
    <row r="94" spans="2:7" x14ac:dyDescent="0.25">
      <c r="B94" s="8"/>
      <c r="C94" s="8"/>
      <c r="D94" s="455"/>
      <c r="E94" s="252"/>
      <c r="F94" s="252"/>
      <c r="G94" s="253"/>
    </row>
    <row r="95" spans="2:7" x14ac:dyDescent="0.25">
      <c r="B95" s="8"/>
      <c r="C95" s="8"/>
      <c r="D95" s="455"/>
      <c r="E95" s="252"/>
      <c r="F95" s="252"/>
      <c r="G95" s="253"/>
    </row>
    <row r="96" spans="2:7" x14ac:dyDescent="0.25">
      <c r="B96" s="8"/>
      <c r="C96" s="8"/>
      <c r="D96" s="455"/>
      <c r="E96" s="252"/>
      <c r="F96" s="252"/>
      <c r="G96" s="253"/>
    </row>
    <row r="97" spans="2:7" x14ac:dyDescent="0.25">
      <c r="B97" s="8"/>
      <c r="C97" s="8"/>
      <c r="D97" s="455"/>
      <c r="E97" s="252"/>
      <c r="F97" s="252"/>
      <c r="G97" s="253"/>
    </row>
    <row r="98" spans="2:7" x14ac:dyDescent="0.25">
      <c r="B98" s="8"/>
      <c r="C98" s="8"/>
      <c r="D98" s="455"/>
      <c r="E98" s="252"/>
      <c r="F98" s="252"/>
      <c r="G98" s="253"/>
    </row>
    <row r="99" spans="2:7" x14ac:dyDescent="0.25">
      <c r="B99" s="8"/>
      <c r="C99" s="8"/>
      <c r="D99" s="455"/>
      <c r="E99" s="252"/>
      <c r="F99" s="252"/>
      <c r="G99" s="253"/>
    </row>
    <row r="100" spans="2:7" x14ac:dyDescent="0.25">
      <c r="B100" s="8"/>
      <c r="C100" s="8"/>
      <c r="D100" s="455"/>
      <c r="E100" s="252"/>
      <c r="F100" s="252"/>
      <c r="G100" s="253"/>
    </row>
    <row r="101" spans="2:7" x14ac:dyDescent="0.25">
      <c r="B101" s="8"/>
      <c r="C101" s="8"/>
      <c r="D101" s="455"/>
      <c r="E101" s="252"/>
      <c r="F101" s="252"/>
      <c r="G101" s="253"/>
    </row>
    <row r="102" spans="2:7" x14ac:dyDescent="0.25">
      <c r="B102" s="8"/>
      <c r="C102" s="8"/>
      <c r="D102" s="455"/>
      <c r="E102" s="252"/>
      <c r="F102" s="252"/>
      <c r="G102" s="253"/>
    </row>
    <row r="103" spans="2:7" x14ac:dyDescent="0.25">
      <c r="B103" s="8"/>
      <c r="C103" s="8"/>
      <c r="D103" s="455"/>
      <c r="E103" s="252"/>
      <c r="F103" s="252"/>
      <c r="G103" s="253"/>
    </row>
    <row r="104" spans="2:7" x14ac:dyDescent="0.25">
      <c r="B104" s="8"/>
      <c r="C104" s="8"/>
      <c r="D104" s="455"/>
      <c r="E104" s="252"/>
      <c r="F104" s="252"/>
      <c r="G104" s="253"/>
    </row>
    <row r="105" spans="2:7" x14ac:dyDescent="0.25">
      <c r="B105" s="8"/>
      <c r="C105" s="8"/>
      <c r="D105" s="455"/>
      <c r="E105" s="252"/>
      <c r="F105" s="252"/>
      <c r="G105" s="253"/>
    </row>
    <row r="106" spans="2:7" x14ac:dyDescent="0.25">
      <c r="B106" s="8"/>
      <c r="C106" s="8"/>
      <c r="D106" s="455"/>
      <c r="E106" s="252"/>
      <c r="F106" s="252"/>
      <c r="G106" s="253"/>
    </row>
    <row r="107" spans="2:7" x14ac:dyDescent="0.25">
      <c r="B107" s="8"/>
      <c r="C107" s="8"/>
      <c r="D107" s="455"/>
      <c r="E107" s="252"/>
      <c r="F107" s="252"/>
      <c r="G107" s="253"/>
    </row>
    <row r="108" spans="2:7" x14ac:dyDescent="0.25">
      <c r="B108" s="8"/>
      <c r="C108" s="8"/>
      <c r="D108" s="455"/>
      <c r="E108" s="252"/>
      <c r="F108" s="252"/>
      <c r="G108" s="253"/>
    </row>
    <row r="109" spans="2:7" x14ac:dyDescent="0.25">
      <c r="B109" s="8"/>
      <c r="C109" s="8"/>
      <c r="D109" s="455"/>
      <c r="E109" s="252"/>
      <c r="F109" s="252"/>
      <c r="G109" s="253"/>
    </row>
    <row r="110" spans="2:7" x14ac:dyDescent="0.25">
      <c r="B110" s="8"/>
      <c r="C110" s="8"/>
      <c r="D110" s="455"/>
      <c r="E110" s="252"/>
      <c r="F110" s="252"/>
      <c r="G110" s="253"/>
    </row>
    <row r="111" spans="2:7" x14ac:dyDescent="0.25">
      <c r="B111" s="8"/>
      <c r="C111" s="8"/>
      <c r="D111" s="455"/>
      <c r="E111" s="252"/>
      <c r="F111" s="252"/>
      <c r="G111" s="253"/>
    </row>
    <row r="112" spans="2:7" x14ac:dyDescent="0.25">
      <c r="B112" s="8"/>
      <c r="C112" s="8"/>
      <c r="D112" s="455"/>
      <c r="E112" s="252"/>
      <c r="F112" s="252"/>
      <c r="G112" s="253"/>
    </row>
    <row r="113" spans="2:7" x14ac:dyDescent="0.25">
      <c r="B113" s="8"/>
      <c r="C113" s="8"/>
      <c r="D113" s="455"/>
      <c r="E113" s="252"/>
      <c r="F113" s="252"/>
      <c r="G113" s="253"/>
    </row>
    <row r="114" spans="2:7" x14ac:dyDescent="0.25">
      <c r="B114" s="8"/>
      <c r="C114" s="8"/>
      <c r="D114" s="455"/>
      <c r="E114" s="252"/>
      <c r="F114" s="252"/>
      <c r="G114" s="253"/>
    </row>
    <row r="115" spans="2:7" x14ac:dyDescent="0.25">
      <c r="B115" s="8"/>
      <c r="C115" s="8"/>
      <c r="D115" s="455"/>
      <c r="E115" s="252"/>
      <c r="F115" s="252"/>
      <c r="G115" s="253"/>
    </row>
    <row r="116" spans="2:7" x14ac:dyDescent="0.25">
      <c r="B116" s="8"/>
      <c r="C116" s="8"/>
      <c r="D116" s="455"/>
      <c r="E116" s="252"/>
      <c r="F116" s="252"/>
      <c r="G116" s="253"/>
    </row>
    <row r="117" spans="2:7" x14ac:dyDescent="0.25">
      <c r="B117" s="8"/>
      <c r="C117" s="8"/>
      <c r="D117" s="455"/>
      <c r="E117" s="252"/>
      <c r="F117" s="252"/>
      <c r="G117" s="253"/>
    </row>
    <row r="118" spans="2:7" x14ac:dyDescent="0.25">
      <c r="B118" s="8"/>
      <c r="C118" s="8"/>
      <c r="D118" s="455"/>
      <c r="E118" s="252"/>
      <c r="F118" s="252"/>
      <c r="G118" s="253"/>
    </row>
    <row r="119" spans="2:7" x14ac:dyDescent="0.25">
      <c r="B119" s="8"/>
      <c r="C119" s="8"/>
      <c r="D119" s="455"/>
      <c r="E119" s="252"/>
      <c r="F119" s="252"/>
      <c r="G119" s="253"/>
    </row>
    <row r="120" spans="2:7" x14ac:dyDescent="0.25">
      <c r="B120" s="8"/>
      <c r="C120" s="8"/>
      <c r="D120" s="455"/>
      <c r="E120" s="252"/>
      <c r="F120" s="252"/>
      <c r="G120" s="253"/>
    </row>
    <row r="121" spans="2:7" x14ac:dyDescent="0.25">
      <c r="B121" s="8"/>
      <c r="C121" s="8"/>
      <c r="D121" s="455"/>
      <c r="E121" s="252"/>
      <c r="F121" s="252"/>
      <c r="G121" s="253"/>
    </row>
    <row r="122" spans="2:7" x14ac:dyDescent="0.25">
      <c r="B122" s="8"/>
      <c r="C122" s="8"/>
      <c r="D122" s="455"/>
      <c r="E122" s="252"/>
      <c r="F122" s="252"/>
      <c r="G122" s="253"/>
    </row>
    <row r="123" spans="2:7" x14ac:dyDescent="0.25">
      <c r="B123" s="8"/>
      <c r="C123" s="8"/>
      <c r="D123" s="455"/>
      <c r="E123" s="252"/>
      <c r="F123" s="252"/>
      <c r="G123" s="253"/>
    </row>
    <row r="124" spans="2:7" x14ac:dyDescent="0.25">
      <c r="B124" s="8"/>
      <c r="C124" s="8"/>
      <c r="D124" s="455"/>
      <c r="E124" s="252"/>
      <c r="F124" s="252"/>
      <c r="G124" s="253"/>
    </row>
    <row r="125" spans="2:7" x14ac:dyDescent="0.25">
      <c r="B125" s="8"/>
      <c r="C125" s="8"/>
      <c r="D125" s="455"/>
      <c r="E125" s="252"/>
      <c r="F125" s="252"/>
      <c r="G125" s="253"/>
    </row>
    <row r="126" spans="2:7" x14ac:dyDescent="0.25">
      <c r="B126" s="8"/>
      <c r="C126" s="8"/>
      <c r="D126" s="455"/>
      <c r="E126" s="252"/>
      <c r="F126" s="252"/>
      <c r="G126" s="253"/>
    </row>
    <row r="127" spans="2:7" x14ac:dyDescent="0.25">
      <c r="B127" s="8"/>
      <c r="C127" s="8"/>
      <c r="D127" s="455"/>
      <c r="E127" s="252"/>
      <c r="F127" s="252"/>
      <c r="G127" s="253"/>
    </row>
    <row r="128" spans="2:7" x14ac:dyDescent="0.25">
      <c r="B128" s="8"/>
      <c r="C128" s="8"/>
      <c r="D128" s="455"/>
      <c r="E128" s="252"/>
      <c r="F128" s="252"/>
      <c r="G128" s="253"/>
    </row>
    <row r="129" spans="2:7" x14ac:dyDescent="0.25">
      <c r="B129" s="8"/>
      <c r="C129" s="8"/>
      <c r="D129" s="455"/>
      <c r="E129" s="252"/>
      <c r="F129" s="252"/>
      <c r="G129" s="253"/>
    </row>
    <row r="130" spans="2:7" x14ac:dyDescent="0.25">
      <c r="B130" s="8"/>
      <c r="C130" s="8"/>
      <c r="D130" s="455"/>
      <c r="E130" s="252"/>
      <c r="F130" s="252"/>
      <c r="G130" s="253"/>
    </row>
    <row r="131" spans="2:7" x14ac:dyDescent="0.25">
      <c r="B131" s="8"/>
      <c r="C131" s="8"/>
      <c r="D131" s="455"/>
      <c r="E131" s="252"/>
      <c r="F131" s="252"/>
      <c r="G131" s="253"/>
    </row>
    <row r="132" spans="2:7" x14ac:dyDescent="0.25">
      <c r="B132" s="8"/>
      <c r="C132" s="8"/>
      <c r="D132" s="455"/>
      <c r="E132" s="252"/>
      <c r="F132" s="252"/>
      <c r="G132" s="253"/>
    </row>
    <row r="133" spans="2:7" x14ac:dyDescent="0.25">
      <c r="B133" s="8"/>
      <c r="C133" s="8"/>
      <c r="D133" s="455"/>
      <c r="E133" s="252"/>
      <c r="F133" s="252"/>
      <c r="G133" s="253"/>
    </row>
    <row r="134" spans="2:7" x14ac:dyDescent="0.25">
      <c r="B134" s="8"/>
      <c r="C134" s="8"/>
      <c r="D134" s="455"/>
      <c r="E134" s="252"/>
      <c r="F134" s="252"/>
      <c r="G134" s="253"/>
    </row>
    <row r="135" spans="2:7" x14ac:dyDescent="0.25">
      <c r="B135" s="8"/>
      <c r="C135" s="8"/>
      <c r="D135" s="455"/>
      <c r="E135" s="252"/>
      <c r="F135" s="252"/>
      <c r="G135" s="253"/>
    </row>
    <row r="136" spans="2:7" x14ac:dyDescent="0.25">
      <c r="B136" s="8"/>
      <c r="C136" s="8"/>
      <c r="D136" s="455"/>
      <c r="E136" s="252"/>
      <c r="F136" s="252"/>
      <c r="G136" s="253"/>
    </row>
    <row r="137" spans="2:7" x14ac:dyDescent="0.25">
      <c r="B137" s="8"/>
      <c r="C137" s="8"/>
      <c r="D137" s="455"/>
      <c r="E137" s="252"/>
      <c r="F137" s="252"/>
      <c r="G137" s="253"/>
    </row>
    <row r="138" spans="2:7" x14ac:dyDescent="0.25">
      <c r="B138" s="8"/>
      <c r="C138" s="8"/>
      <c r="D138" s="455"/>
      <c r="E138" s="252"/>
      <c r="F138" s="252"/>
      <c r="G138" s="253"/>
    </row>
    <row r="139" spans="2:7" x14ac:dyDescent="0.25">
      <c r="B139" s="8"/>
      <c r="C139" s="8"/>
      <c r="D139" s="455"/>
      <c r="E139" s="252"/>
      <c r="F139" s="252"/>
      <c r="G139" s="253"/>
    </row>
    <row r="140" spans="2:7" x14ac:dyDescent="0.25">
      <c r="B140" s="8"/>
      <c r="C140" s="8"/>
      <c r="D140" s="455"/>
      <c r="E140" s="252"/>
      <c r="F140" s="252"/>
      <c r="G140" s="253"/>
    </row>
    <row r="141" spans="2:7" x14ac:dyDescent="0.25">
      <c r="B141" s="8"/>
      <c r="C141" s="8"/>
      <c r="D141" s="455"/>
      <c r="E141" s="252"/>
      <c r="F141" s="252"/>
      <c r="G141" s="253"/>
    </row>
    <row r="142" spans="2:7" x14ac:dyDescent="0.25">
      <c r="B142" s="8"/>
      <c r="C142" s="8"/>
      <c r="D142" s="455"/>
      <c r="E142" s="252"/>
      <c r="F142" s="252"/>
      <c r="G142" s="253"/>
    </row>
    <row r="143" spans="2:7" x14ac:dyDescent="0.25">
      <c r="B143" s="8"/>
      <c r="C143" s="8"/>
      <c r="D143" s="455"/>
      <c r="E143" s="252"/>
      <c r="F143" s="252"/>
      <c r="G143" s="253"/>
    </row>
    <row r="144" spans="2:7" x14ac:dyDescent="0.25">
      <c r="B144" s="8"/>
      <c r="C144" s="8"/>
      <c r="D144" s="455"/>
      <c r="E144" s="252"/>
      <c r="F144" s="252"/>
      <c r="G144" s="253"/>
    </row>
    <row r="145" spans="2:7" x14ac:dyDescent="0.25">
      <c r="B145" s="8"/>
      <c r="C145" s="8"/>
      <c r="D145" s="455"/>
      <c r="E145" s="252"/>
      <c r="F145" s="252"/>
      <c r="G145" s="253"/>
    </row>
    <row r="146" spans="2:7" x14ac:dyDescent="0.25">
      <c r="B146" s="8"/>
      <c r="C146" s="8"/>
      <c r="D146" s="455"/>
      <c r="E146" s="252"/>
      <c r="F146" s="252"/>
      <c r="G146" s="253"/>
    </row>
    <row r="147" spans="2:7" x14ac:dyDescent="0.25">
      <c r="B147" s="8"/>
      <c r="C147" s="8"/>
      <c r="D147" s="455"/>
      <c r="E147" s="252"/>
      <c r="F147" s="252"/>
      <c r="G147" s="253"/>
    </row>
    <row r="148" spans="2:7" x14ac:dyDescent="0.25">
      <c r="B148" s="8"/>
      <c r="C148" s="8"/>
      <c r="D148" s="455"/>
      <c r="E148" s="252"/>
      <c r="F148" s="252"/>
      <c r="G148" s="253"/>
    </row>
    <row r="149" spans="2:7" x14ac:dyDescent="0.25">
      <c r="B149" s="8"/>
      <c r="C149" s="8"/>
      <c r="D149" s="455"/>
      <c r="E149" s="252"/>
      <c r="F149" s="252"/>
      <c r="G149" s="253"/>
    </row>
    <row r="150" spans="2:7" x14ac:dyDescent="0.25">
      <c r="B150" s="8"/>
      <c r="C150" s="8"/>
      <c r="D150" s="455"/>
      <c r="E150" s="252"/>
      <c r="F150" s="252"/>
      <c r="G150" s="253"/>
    </row>
    <row r="151" spans="2:7" x14ac:dyDescent="0.25">
      <c r="B151" s="8"/>
      <c r="C151" s="8"/>
      <c r="D151" s="455"/>
      <c r="E151" s="252"/>
      <c r="F151" s="252"/>
      <c r="G151" s="253"/>
    </row>
    <row r="152" spans="2:7" x14ac:dyDescent="0.25">
      <c r="B152" s="8"/>
      <c r="C152" s="8"/>
      <c r="D152" s="455"/>
      <c r="E152" s="252"/>
      <c r="F152" s="252"/>
      <c r="G152" s="253"/>
    </row>
    <row r="153" spans="2:7" x14ac:dyDescent="0.25">
      <c r="B153" s="8"/>
      <c r="C153" s="8"/>
      <c r="D153" s="455"/>
      <c r="E153" s="252"/>
      <c r="F153" s="252"/>
      <c r="G153" s="253"/>
    </row>
    <row r="154" spans="2:7" x14ac:dyDescent="0.25">
      <c r="B154" s="8"/>
      <c r="C154" s="8"/>
      <c r="D154" s="455"/>
      <c r="E154" s="252"/>
      <c r="F154" s="252"/>
      <c r="G154" s="253"/>
    </row>
    <row r="155" spans="2:7" x14ac:dyDescent="0.25">
      <c r="B155" s="8"/>
      <c r="C155" s="8"/>
      <c r="D155" s="455"/>
      <c r="E155" s="252"/>
      <c r="F155" s="252"/>
      <c r="G155" s="253"/>
    </row>
    <row r="156" spans="2:7" x14ac:dyDescent="0.25">
      <c r="B156" s="8"/>
      <c r="C156" s="8"/>
      <c r="D156" s="455"/>
      <c r="E156" s="252"/>
      <c r="F156" s="252"/>
      <c r="G156" s="253"/>
    </row>
    <row r="157" spans="2:7" x14ac:dyDescent="0.25">
      <c r="B157" s="8"/>
      <c r="C157" s="8"/>
      <c r="D157" s="455"/>
      <c r="E157" s="252"/>
      <c r="F157" s="252"/>
      <c r="G157" s="253"/>
    </row>
    <row r="158" spans="2:7" x14ac:dyDescent="0.25">
      <c r="B158" s="8"/>
      <c r="C158" s="8"/>
      <c r="D158" s="455"/>
      <c r="E158" s="252"/>
      <c r="F158" s="252"/>
      <c r="G158" s="253"/>
    </row>
    <row r="159" spans="2:7" x14ac:dyDescent="0.25">
      <c r="B159" s="8"/>
      <c r="C159" s="8"/>
      <c r="D159" s="455"/>
      <c r="E159" s="252"/>
      <c r="F159" s="252"/>
      <c r="G159" s="253"/>
    </row>
    <row r="160" spans="2:7" x14ac:dyDescent="0.25">
      <c r="B160" s="8"/>
      <c r="C160" s="8"/>
      <c r="D160" s="455"/>
      <c r="E160" s="252"/>
      <c r="F160" s="252"/>
      <c r="G160" s="253"/>
    </row>
    <row r="161" spans="2:7" x14ac:dyDescent="0.25">
      <c r="B161" s="8"/>
      <c r="C161" s="8"/>
      <c r="D161" s="455"/>
      <c r="E161" s="252"/>
      <c r="F161" s="252"/>
      <c r="G161" s="253"/>
    </row>
    <row r="162" spans="2:7" x14ac:dyDescent="0.25">
      <c r="B162" s="8"/>
      <c r="C162" s="8"/>
      <c r="D162" s="455"/>
      <c r="E162" s="252"/>
      <c r="F162" s="252"/>
      <c r="G162" s="253"/>
    </row>
    <row r="163" spans="2:7" x14ac:dyDescent="0.25">
      <c r="B163" s="8"/>
      <c r="C163" s="8"/>
      <c r="D163" s="455"/>
      <c r="E163" s="252"/>
      <c r="F163" s="252"/>
      <c r="G163" s="253"/>
    </row>
    <row r="164" spans="2:7" x14ac:dyDescent="0.25">
      <c r="B164" s="8"/>
      <c r="C164" s="8"/>
      <c r="D164" s="455"/>
      <c r="E164" s="252"/>
      <c r="F164" s="252"/>
      <c r="G164" s="253"/>
    </row>
    <row r="165" spans="2:7" x14ac:dyDescent="0.25">
      <c r="B165" s="8"/>
      <c r="C165" s="8"/>
      <c r="D165" s="455"/>
      <c r="E165" s="252"/>
      <c r="F165" s="252"/>
      <c r="G165" s="253"/>
    </row>
    <row r="166" spans="2:7" x14ac:dyDescent="0.25">
      <c r="B166" s="8"/>
      <c r="C166" s="8"/>
      <c r="D166" s="455"/>
      <c r="E166" s="252"/>
      <c r="F166" s="252"/>
      <c r="G166" s="253"/>
    </row>
    <row r="167" spans="2:7" x14ac:dyDescent="0.25">
      <c r="B167" s="8"/>
      <c r="C167" s="8"/>
      <c r="D167" s="455"/>
      <c r="E167" s="252"/>
      <c r="F167" s="252"/>
      <c r="G167" s="253"/>
    </row>
    <row r="168" spans="2:7" x14ac:dyDescent="0.25">
      <c r="B168" s="8"/>
      <c r="C168" s="8"/>
      <c r="D168" s="455"/>
      <c r="E168" s="252"/>
      <c r="F168" s="252"/>
      <c r="G168" s="253"/>
    </row>
    <row r="169" spans="2:7" x14ac:dyDescent="0.25">
      <c r="B169" s="8"/>
      <c r="C169" s="8"/>
      <c r="D169" s="455"/>
      <c r="E169" s="252"/>
      <c r="F169" s="252"/>
      <c r="G169" s="253"/>
    </row>
    <row r="170" spans="2:7" x14ac:dyDescent="0.25">
      <c r="B170" s="8"/>
      <c r="C170" s="8"/>
      <c r="D170" s="455"/>
      <c r="E170" s="252"/>
      <c r="F170" s="252"/>
      <c r="G170" s="253"/>
    </row>
    <row r="171" spans="2:7" x14ac:dyDescent="0.25">
      <c r="B171" s="8"/>
      <c r="C171" s="8"/>
      <c r="D171" s="455"/>
      <c r="E171" s="252"/>
      <c r="F171" s="252"/>
      <c r="G171" s="253"/>
    </row>
    <row r="172" spans="2:7" x14ac:dyDescent="0.25">
      <c r="B172" s="8"/>
      <c r="C172" s="8"/>
      <c r="D172" s="455"/>
      <c r="E172" s="252"/>
      <c r="F172" s="252"/>
      <c r="G172" s="253"/>
    </row>
    <row r="173" spans="2:7" x14ac:dyDescent="0.25">
      <c r="B173" s="8"/>
      <c r="C173" s="8"/>
      <c r="D173" s="455"/>
      <c r="E173" s="252"/>
      <c r="F173" s="252"/>
      <c r="G173" s="253"/>
    </row>
    <row r="174" spans="2:7" x14ac:dyDescent="0.25">
      <c r="B174" s="8"/>
      <c r="C174" s="8"/>
      <c r="D174" s="455"/>
      <c r="E174" s="252"/>
      <c r="F174" s="252"/>
      <c r="G174" s="253"/>
    </row>
    <row r="175" spans="2:7" x14ac:dyDescent="0.25">
      <c r="B175" s="8"/>
      <c r="C175" s="8"/>
      <c r="D175" s="455"/>
      <c r="E175" s="252"/>
      <c r="F175" s="252"/>
      <c r="G175" s="253"/>
    </row>
    <row r="176" spans="2:7" x14ac:dyDescent="0.25">
      <c r="B176" s="8"/>
      <c r="C176" s="8"/>
      <c r="D176" s="455"/>
      <c r="E176" s="252"/>
      <c r="F176" s="252"/>
      <c r="G176" s="253"/>
    </row>
    <row r="177" spans="2:7" x14ac:dyDescent="0.25">
      <c r="B177" s="8"/>
      <c r="C177" s="8"/>
      <c r="D177" s="455"/>
      <c r="E177" s="252"/>
      <c r="F177" s="252"/>
      <c r="G177" s="253"/>
    </row>
    <row r="178" spans="2:7" x14ac:dyDescent="0.25">
      <c r="B178" s="8"/>
      <c r="C178" s="8"/>
      <c r="D178" s="455"/>
      <c r="E178" s="252"/>
      <c r="F178" s="252"/>
      <c r="G178" s="253"/>
    </row>
    <row r="179" spans="2:7" x14ac:dyDescent="0.25">
      <c r="B179" s="8"/>
      <c r="C179" s="8"/>
      <c r="D179" s="455"/>
      <c r="E179" s="252"/>
      <c r="F179" s="252"/>
      <c r="G179" s="253"/>
    </row>
    <row r="180" spans="2:7" x14ac:dyDescent="0.25">
      <c r="B180" s="8"/>
      <c r="C180" s="8"/>
      <c r="D180" s="455"/>
      <c r="E180" s="252"/>
      <c r="F180" s="252"/>
      <c r="G180" s="253"/>
    </row>
    <row r="181" spans="2:7" x14ac:dyDescent="0.25">
      <c r="B181" s="8"/>
      <c r="C181" s="8"/>
      <c r="D181" s="455"/>
      <c r="E181" s="252"/>
      <c r="F181" s="252"/>
      <c r="G181" s="253"/>
    </row>
    <row r="182" spans="2:7" x14ac:dyDescent="0.25">
      <c r="B182" s="8"/>
      <c r="C182" s="8"/>
      <c r="D182" s="455"/>
      <c r="E182" s="252"/>
      <c r="F182" s="252"/>
      <c r="G182" s="253"/>
    </row>
    <row r="183" spans="2:7" x14ac:dyDescent="0.25">
      <c r="B183" s="8"/>
      <c r="C183" s="8"/>
      <c r="D183" s="455"/>
      <c r="E183" s="252"/>
      <c r="F183" s="252"/>
      <c r="G183" s="253"/>
    </row>
    <row r="184" spans="2:7" x14ac:dyDescent="0.25">
      <c r="B184" s="8"/>
      <c r="C184" s="8"/>
      <c r="D184" s="455"/>
      <c r="E184" s="252"/>
      <c r="F184" s="252"/>
      <c r="G184" s="253"/>
    </row>
    <row r="185" spans="2:7" x14ac:dyDescent="0.25">
      <c r="B185" s="8"/>
      <c r="C185" s="8"/>
      <c r="D185" s="455"/>
      <c r="E185" s="252"/>
      <c r="F185" s="252"/>
      <c r="G185" s="253"/>
    </row>
    <row r="186" spans="2:7" x14ac:dyDescent="0.25">
      <c r="B186" s="8"/>
      <c r="C186" s="8"/>
      <c r="D186" s="455"/>
      <c r="E186" s="252"/>
      <c r="F186" s="252"/>
      <c r="G186" s="253"/>
    </row>
    <row r="187" spans="2:7" x14ac:dyDescent="0.25">
      <c r="B187" s="8"/>
      <c r="C187" s="8"/>
      <c r="D187" s="455"/>
      <c r="E187" s="252"/>
      <c r="F187" s="252"/>
      <c r="G187" s="253"/>
    </row>
    <row r="188" spans="2:7" x14ac:dyDescent="0.25">
      <c r="B188" s="8"/>
      <c r="C188" s="8"/>
      <c r="D188" s="455"/>
      <c r="E188" s="252"/>
      <c r="F188" s="252"/>
      <c r="G188" s="253"/>
    </row>
    <row r="189" spans="2:7" x14ac:dyDescent="0.25">
      <c r="B189" s="8"/>
      <c r="C189" s="8"/>
      <c r="D189" s="455"/>
      <c r="E189" s="252"/>
      <c r="F189" s="252"/>
      <c r="G189" s="253"/>
    </row>
    <row r="190" spans="2:7" x14ac:dyDescent="0.25">
      <c r="B190" s="8"/>
      <c r="C190" s="8"/>
      <c r="D190" s="455"/>
      <c r="E190" s="252"/>
      <c r="F190" s="252"/>
      <c r="G190" s="253"/>
    </row>
    <row r="191" spans="2:7" x14ac:dyDescent="0.25">
      <c r="B191" s="8"/>
      <c r="C191" s="8"/>
      <c r="D191" s="455"/>
      <c r="E191" s="252"/>
      <c r="F191" s="252"/>
      <c r="G191" s="253"/>
    </row>
    <row r="192" spans="2:7" x14ac:dyDescent="0.25">
      <c r="B192" s="8"/>
      <c r="C192" s="8"/>
      <c r="D192" s="455"/>
      <c r="E192" s="252"/>
      <c r="F192" s="252"/>
      <c r="G192" s="253"/>
    </row>
    <row r="193" spans="2:7" x14ac:dyDescent="0.25">
      <c r="B193" s="8"/>
      <c r="C193" s="8"/>
      <c r="D193" s="455"/>
      <c r="E193" s="252"/>
      <c r="F193" s="252"/>
      <c r="G193" s="253"/>
    </row>
    <row r="194" spans="2:7" x14ac:dyDescent="0.25">
      <c r="B194" s="8"/>
      <c r="C194" s="8"/>
      <c r="D194" s="455"/>
      <c r="E194" s="252"/>
      <c r="F194" s="252"/>
      <c r="G194" s="253"/>
    </row>
    <row r="195" spans="2:7" x14ac:dyDescent="0.25">
      <c r="B195" s="8"/>
      <c r="C195" s="8"/>
      <c r="D195" s="455"/>
      <c r="E195" s="252"/>
      <c r="F195" s="252"/>
      <c r="G195" s="253"/>
    </row>
    <row r="196" spans="2:7" x14ac:dyDescent="0.25">
      <c r="B196" s="8"/>
      <c r="C196" s="8"/>
      <c r="D196" s="455"/>
      <c r="E196" s="252"/>
      <c r="F196" s="252"/>
      <c r="G196" s="253"/>
    </row>
    <row r="197" spans="2:7" x14ac:dyDescent="0.25">
      <c r="B197" s="8"/>
      <c r="C197" s="8"/>
      <c r="D197" s="455"/>
      <c r="E197" s="252"/>
      <c r="F197" s="252"/>
      <c r="G197" s="253"/>
    </row>
    <row r="198" spans="2:7" x14ac:dyDescent="0.25">
      <c r="B198" s="8"/>
      <c r="C198" s="8"/>
      <c r="D198" s="455"/>
      <c r="E198" s="252"/>
      <c r="F198" s="252"/>
      <c r="G198" s="253"/>
    </row>
    <row r="199" spans="2:7" x14ac:dyDescent="0.25">
      <c r="B199" s="8"/>
      <c r="C199" s="8"/>
      <c r="D199" s="455"/>
      <c r="E199" s="252"/>
      <c r="F199" s="252"/>
      <c r="G199" s="253"/>
    </row>
    <row r="200" spans="2:7" x14ac:dyDescent="0.25">
      <c r="B200" s="8"/>
      <c r="C200" s="8"/>
      <c r="D200" s="455"/>
      <c r="E200" s="252"/>
      <c r="F200" s="252"/>
      <c r="G200" s="253"/>
    </row>
    <row r="201" spans="2:7" x14ac:dyDescent="0.25">
      <c r="B201" s="8"/>
      <c r="C201" s="8"/>
      <c r="D201" s="455"/>
      <c r="E201" s="252"/>
      <c r="F201" s="252"/>
      <c r="G201" s="253"/>
    </row>
    <row r="202" spans="2:7" x14ac:dyDescent="0.25">
      <c r="B202" s="8"/>
      <c r="C202" s="8"/>
      <c r="D202" s="455"/>
      <c r="E202" s="252"/>
      <c r="F202" s="252"/>
      <c r="G202" s="253"/>
    </row>
    <row r="203" spans="2:7" x14ac:dyDescent="0.25">
      <c r="B203" s="8"/>
      <c r="C203" s="8"/>
      <c r="D203" s="455"/>
      <c r="E203" s="252"/>
      <c r="F203" s="252"/>
      <c r="G203" s="253"/>
    </row>
    <row r="204" spans="2:7" x14ac:dyDescent="0.25">
      <c r="B204" s="8"/>
      <c r="C204" s="8"/>
      <c r="D204" s="455"/>
      <c r="E204" s="252"/>
      <c r="F204" s="252"/>
      <c r="G204" s="253"/>
    </row>
    <row r="205" spans="2:7" x14ac:dyDescent="0.25">
      <c r="B205" s="8"/>
      <c r="C205" s="8"/>
      <c r="D205" s="455"/>
      <c r="E205" s="252"/>
      <c r="F205" s="252"/>
      <c r="G205" s="253"/>
    </row>
    <row r="206" spans="2:7" x14ac:dyDescent="0.25">
      <c r="B206" s="8"/>
      <c r="C206" s="8"/>
      <c r="D206" s="455"/>
      <c r="E206" s="252"/>
      <c r="F206" s="252"/>
      <c r="G206" s="253"/>
    </row>
    <row r="207" spans="2:7" x14ac:dyDescent="0.25">
      <c r="B207" s="8"/>
      <c r="C207" s="8"/>
      <c r="D207" s="455"/>
      <c r="E207" s="252"/>
      <c r="F207" s="252"/>
      <c r="G207" s="253"/>
    </row>
    <row r="208" spans="2:7" x14ac:dyDescent="0.25">
      <c r="B208" s="8"/>
      <c r="C208" s="8"/>
      <c r="D208" s="455"/>
      <c r="E208" s="252"/>
      <c r="F208" s="252"/>
      <c r="G208" s="253"/>
    </row>
    <row r="209" spans="2:7" x14ac:dyDescent="0.25">
      <c r="B209" s="8"/>
      <c r="C209" s="8"/>
      <c r="D209" s="455"/>
      <c r="E209" s="252"/>
      <c r="F209" s="252"/>
      <c r="G209" s="253"/>
    </row>
    <row r="210" spans="2:7" x14ac:dyDescent="0.25">
      <c r="B210" s="8"/>
      <c r="C210" s="8"/>
      <c r="D210" s="455"/>
      <c r="E210" s="252"/>
      <c r="F210" s="252"/>
      <c r="G210" s="253"/>
    </row>
    <row r="211" spans="2:7" x14ac:dyDescent="0.25">
      <c r="B211" s="8"/>
      <c r="C211" s="8"/>
      <c r="D211" s="455"/>
      <c r="E211" s="252"/>
      <c r="F211" s="252"/>
      <c r="G211" s="253"/>
    </row>
    <row r="212" spans="2:7" x14ac:dyDescent="0.25">
      <c r="B212" s="8"/>
      <c r="C212" s="8"/>
      <c r="D212" s="455"/>
      <c r="E212" s="252"/>
      <c r="F212" s="252"/>
      <c r="G212" s="253"/>
    </row>
    <row r="213" spans="2:7" x14ac:dyDescent="0.25">
      <c r="B213" s="8"/>
      <c r="C213" s="8"/>
      <c r="D213" s="455"/>
      <c r="E213" s="252"/>
      <c r="F213" s="252"/>
      <c r="G213" s="253"/>
    </row>
    <row r="214" spans="2:7" x14ac:dyDescent="0.25">
      <c r="B214" s="8"/>
      <c r="C214" s="8"/>
      <c r="D214" s="455"/>
      <c r="E214" s="252"/>
      <c r="F214" s="252"/>
      <c r="G214" s="253"/>
    </row>
    <row r="215" spans="2:7" x14ac:dyDescent="0.25">
      <c r="B215" s="8"/>
      <c r="C215" s="8"/>
      <c r="D215" s="455"/>
      <c r="E215" s="252"/>
      <c r="F215" s="252"/>
      <c r="G215" s="253"/>
    </row>
    <row r="216" spans="2:7" x14ac:dyDescent="0.25">
      <c r="B216" s="8"/>
      <c r="C216" s="8"/>
      <c r="D216" s="455"/>
      <c r="E216" s="252"/>
      <c r="F216" s="252"/>
      <c r="G216" s="253"/>
    </row>
    <row r="217" spans="2:7" x14ac:dyDescent="0.25">
      <c r="B217" s="8"/>
      <c r="C217" s="8"/>
      <c r="D217" s="455"/>
      <c r="E217" s="252"/>
      <c r="F217" s="252"/>
      <c r="G217" s="253"/>
    </row>
    <row r="218" spans="2:7" x14ac:dyDescent="0.25">
      <c r="B218" s="8"/>
      <c r="C218" s="8"/>
      <c r="D218" s="455"/>
      <c r="E218" s="252"/>
      <c r="F218" s="252"/>
      <c r="G218" s="253"/>
    </row>
    <row r="219" spans="2:7" x14ac:dyDescent="0.25">
      <c r="B219" s="8"/>
      <c r="C219" s="8"/>
      <c r="D219" s="455"/>
      <c r="E219" s="252"/>
      <c r="F219" s="252"/>
      <c r="G219" s="253"/>
    </row>
    <row r="220" spans="2:7" x14ac:dyDescent="0.25">
      <c r="B220" s="8"/>
      <c r="C220" s="8"/>
      <c r="D220" s="455"/>
      <c r="E220" s="252"/>
      <c r="F220" s="252"/>
      <c r="G220" s="253"/>
    </row>
    <row r="221" spans="2:7" x14ac:dyDescent="0.25">
      <c r="B221" s="8"/>
      <c r="C221" s="8"/>
      <c r="D221" s="455"/>
      <c r="E221" s="252"/>
      <c r="F221" s="252"/>
      <c r="G221" s="253"/>
    </row>
    <row r="222" spans="2:7" x14ac:dyDescent="0.25">
      <c r="B222" s="8"/>
      <c r="C222" s="8"/>
      <c r="D222" s="455"/>
      <c r="E222" s="252"/>
      <c r="F222" s="252"/>
      <c r="G222" s="253"/>
    </row>
    <row r="223" spans="2:7" x14ac:dyDescent="0.25">
      <c r="B223" s="8"/>
      <c r="C223" s="8"/>
      <c r="D223" s="455"/>
      <c r="E223" s="252"/>
      <c r="F223" s="252"/>
      <c r="G223" s="253"/>
    </row>
    <row r="224" spans="2:7" x14ac:dyDescent="0.25">
      <c r="B224" s="8"/>
      <c r="C224" s="8"/>
      <c r="D224" s="455"/>
      <c r="E224" s="252"/>
      <c r="F224" s="252"/>
      <c r="G224" s="253"/>
    </row>
    <row r="225" spans="2:7" x14ac:dyDescent="0.25">
      <c r="B225" s="8"/>
      <c r="C225" s="8"/>
      <c r="D225" s="455"/>
      <c r="E225" s="252"/>
      <c r="F225" s="252"/>
      <c r="G225" s="253"/>
    </row>
    <row r="226" spans="2:7" x14ac:dyDescent="0.25">
      <c r="B226" s="8"/>
      <c r="C226" s="8"/>
      <c r="D226" s="455"/>
      <c r="E226" s="252"/>
      <c r="F226" s="252"/>
      <c r="G226" s="253"/>
    </row>
    <row r="227" spans="2:7" x14ac:dyDescent="0.25">
      <c r="B227" s="8"/>
      <c r="C227" s="8"/>
      <c r="D227" s="455"/>
      <c r="E227" s="252"/>
      <c r="F227" s="252"/>
      <c r="G227" s="253"/>
    </row>
    <row r="228" spans="2:7" x14ac:dyDescent="0.25">
      <c r="B228" s="8"/>
      <c r="C228" s="8"/>
      <c r="D228" s="455"/>
      <c r="E228" s="252"/>
      <c r="F228" s="252"/>
      <c r="G228" s="253"/>
    </row>
    <row r="229" spans="2:7" x14ac:dyDescent="0.25">
      <c r="B229" s="8"/>
      <c r="C229" s="8"/>
      <c r="D229" s="455"/>
      <c r="E229" s="252"/>
      <c r="F229" s="252"/>
      <c r="G229" s="253"/>
    </row>
    <row r="230" spans="2:7" x14ac:dyDescent="0.25">
      <c r="B230" s="8"/>
      <c r="C230" s="8"/>
      <c r="D230" s="455"/>
      <c r="E230" s="252"/>
      <c r="F230" s="252"/>
      <c r="G230" s="253"/>
    </row>
    <row r="231" spans="2:7" x14ac:dyDescent="0.25">
      <c r="B231" s="8"/>
      <c r="C231" s="8"/>
      <c r="D231" s="455"/>
      <c r="E231" s="252"/>
      <c r="F231" s="252"/>
      <c r="G231" s="253"/>
    </row>
    <row r="232" spans="2:7" x14ac:dyDescent="0.25">
      <c r="B232" s="8"/>
      <c r="C232" s="8"/>
      <c r="D232" s="455"/>
      <c r="E232" s="252"/>
      <c r="F232" s="252"/>
      <c r="G232" s="253"/>
    </row>
    <row r="233" spans="2:7" x14ac:dyDescent="0.25">
      <c r="B233" s="8"/>
      <c r="C233" s="8"/>
      <c r="D233" s="455"/>
      <c r="E233" s="252"/>
      <c r="F233" s="252"/>
      <c r="G233" s="253"/>
    </row>
    <row r="234" spans="2:7" x14ac:dyDescent="0.25">
      <c r="B234" s="8"/>
      <c r="C234" s="8"/>
      <c r="D234" s="455"/>
      <c r="E234" s="252"/>
      <c r="F234" s="252"/>
      <c r="G234" s="253"/>
    </row>
    <row r="235" spans="2:7" x14ac:dyDescent="0.25">
      <c r="B235" s="8"/>
      <c r="C235" s="8"/>
      <c r="D235" s="455"/>
      <c r="E235" s="252"/>
      <c r="F235" s="252"/>
      <c r="G235" s="253"/>
    </row>
    <row r="236" spans="2:7" x14ac:dyDescent="0.25">
      <c r="B236" s="8"/>
      <c r="C236" s="8"/>
      <c r="D236" s="455"/>
      <c r="E236" s="252"/>
      <c r="F236" s="252"/>
      <c r="G236" s="253"/>
    </row>
    <row r="237" spans="2:7" x14ac:dyDescent="0.25">
      <c r="B237" s="8"/>
      <c r="C237" s="8"/>
      <c r="D237" s="455"/>
      <c r="E237" s="252"/>
      <c r="F237" s="252"/>
      <c r="G237" s="253"/>
    </row>
    <row r="238" spans="2:7" x14ac:dyDescent="0.25">
      <c r="B238" s="8"/>
      <c r="C238" s="8"/>
      <c r="D238" s="455"/>
      <c r="E238" s="252"/>
      <c r="F238" s="252"/>
      <c r="G238" s="253"/>
    </row>
    <row r="239" spans="2:7" x14ac:dyDescent="0.25">
      <c r="B239" s="8"/>
      <c r="C239" s="8"/>
      <c r="D239" s="455"/>
      <c r="E239" s="252"/>
      <c r="F239" s="252"/>
      <c r="G239" s="253"/>
    </row>
    <row r="240" spans="2:7" x14ac:dyDescent="0.25">
      <c r="B240" s="8"/>
      <c r="C240" s="8"/>
      <c r="D240" s="455"/>
      <c r="E240" s="252"/>
      <c r="F240" s="252"/>
      <c r="G240" s="253"/>
    </row>
    <row r="241" spans="2:7" x14ac:dyDescent="0.25">
      <c r="B241" s="8"/>
      <c r="C241" s="8"/>
      <c r="D241" s="455"/>
      <c r="E241" s="252"/>
      <c r="F241" s="252"/>
      <c r="G241" s="253"/>
    </row>
    <row r="242" spans="2:7" x14ac:dyDescent="0.25">
      <c r="B242" s="8"/>
      <c r="C242" s="8"/>
      <c r="D242" s="455"/>
      <c r="E242" s="252"/>
      <c r="F242" s="252"/>
      <c r="G242" s="253"/>
    </row>
    <row r="243" spans="2:7" x14ac:dyDescent="0.25">
      <c r="B243" s="8"/>
      <c r="C243" s="8"/>
      <c r="D243" s="455"/>
      <c r="E243" s="252"/>
      <c r="F243" s="252"/>
      <c r="G243" s="253"/>
    </row>
    <row r="244" spans="2:7" x14ac:dyDescent="0.25">
      <c r="B244" s="8"/>
      <c r="C244" s="8"/>
      <c r="D244" s="455"/>
      <c r="E244" s="252"/>
      <c r="F244" s="252"/>
      <c r="G244" s="253"/>
    </row>
    <row r="245" spans="2:7" x14ac:dyDescent="0.25">
      <c r="B245" s="8"/>
      <c r="C245" s="8"/>
      <c r="D245" s="455"/>
      <c r="E245" s="252"/>
      <c r="F245" s="252"/>
      <c r="G245" s="253"/>
    </row>
    <row r="246" spans="2:7" x14ac:dyDescent="0.25">
      <c r="B246" s="8"/>
      <c r="C246" s="8"/>
      <c r="D246" s="455"/>
      <c r="E246" s="252"/>
      <c r="F246" s="252"/>
      <c r="G246" s="253"/>
    </row>
    <row r="247" spans="2:7" x14ac:dyDescent="0.25">
      <c r="B247" s="8"/>
      <c r="C247" s="8"/>
      <c r="D247" s="455"/>
      <c r="E247" s="252"/>
      <c r="F247" s="252"/>
      <c r="G247" s="253"/>
    </row>
    <row r="248" spans="2:7" x14ac:dyDescent="0.25">
      <c r="B248" s="8"/>
      <c r="C248" s="8"/>
      <c r="D248" s="455"/>
      <c r="E248" s="252"/>
      <c r="F248" s="252"/>
      <c r="G248" s="253"/>
    </row>
    <row r="249" spans="2:7" x14ac:dyDescent="0.25">
      <c r="B249" s="8"/>
      <c r="C249" s="8"/>
      <c r="D249" s="455"/>
      <c r="E249" s="252"/>
      <c r="F249" s="252"/>
      <c r="G249" s="253"/>
    </row>
    <row r="250" spans="2:7" x14ac:dyDescent="0.25">
      <c r="B250" s="8"/>
      <c r="C250" s="8"/>
      <c r="D250" s="455"/>
      <c r="E250" s="252"/>
      <c r="F250" s="252"/>
      <c r="G250" s="253"/>
    </row>
    <row r="251" spans="2:7" x14ac:dyDescent="0.25">
      <c r="B251" s="8"/>
      <c r="C251" s="8"/>
      <c r="D251" s="455"/>
      <c r="E251" s="252"/>
      <c r="F251" s="252"/>
      <c r="G251" s="253"/>
    </row>
    <row r="252" spans="2:7" x14ac:dyDescent="0.25">
      <c r="B252" s="8"/>
      <c r="C252" s="8"/>
      <c r="D252" s="455"/>
      <c r="E252" s="252"/>
      <c r="F252" s="252"/>
      <c r="G252" s="253"/>
    </row>
    <row r="253" spans="2:7" x14ac:dyDescent="0.25">
      <c r="B253" s="8"/>
      <c r="C253" s="8"/>
      <c r="D253" s="455"/>
      <c r="E253" s="252"/>
      <c r="F253" s="252"/>
      <c r="G253" s="253"/>
    </row>
    <row r="254" spans="2:7" x14ac:dyDescent="0.25">
      <c r="B254" s="8"/>
      <c r="C254" s="8"/>
      <c r="D254" s="455"/>
      <c r="E254" s="252"/>
      <c r="F254" s="252"/>
      <c r="G254" s="253"/>
    </row>
    <row r="255" spans="2:7" x14ac:dyDescent="0.25">
      <c r="B255" s="8"/>
      <c r="C255" s="8"/>
      <c r="D255" s="455"/>
      <c r="E255" s="252"/>
      <c r="F255" s="252"/>
      <c r="G255" s="253"/>
    </row>
    <row r="256" spans="2:7" x14ac:dyDescent="0.25">
      <c r="B256" s="8"/>
      <c r="C256" s="8"/>
      <c r="D256" s="455"/>
      <c r="E256" s="252"/>
      <c r="F256" s="252"/>
      <c r="G256" s="253"/>
    </row>
    <row r="257" spans="2:7" x14ac:dyDescent="0.25">
      <c r="B257" s="8"/>
      <c r="C257" s="8"/>
      <c r="D257" s="455"/>
      <c r="E257" s="252"/>
      <c r="F257" s="252"/>
      <c r="G257" s="253"/>
    </row>
    <row r="258" spans="2:7" x14ac:dyDescent="0.25">
      <c r="B258" s="8"/>
      <c r="C258" s="8"/>
      <c r="D258" s="455"/>
      <c r="E258" s="252"/>
      <c r="F258" s="252"/>
      <c r="G258" s="253"/>
    </row>
    <row r="259" spans="2:7" x14ac:dyDescent="0.25">
      <c r="B259" s="8"/>
      <c r="C259" s="8"/>
      <c r="D259" s="455"/>
      <c r="E259" s="252"/>
      <c r="F259" s="252"/>
      <c r="G259" s="253"/>
    </row>
    <row r="260" spans="2:7" x14ac:dyDescent="0.25">
      <c r="B260" s="8"/>
      <c r="C260" s="8"/>
      <c r="D260" s="455"/>
      <c r="E260" s="252"/>
      <c r="F260" s="252"/>
      <c r="G260" s="253"/>
    </row>
    <row r="261" spans="2:7" x14ac:dyDescent="0.25">
      <c r="B261" s="8"/>
      <c r="C261" s="8"/>
      <c r="D261" s="455"/>
      <c r="E261" s="252"/>
      <c r="F261" s="252"/>
      <c r="G261" s="253"/>
    </row>
    <row r="262" spans="2:7" x14ac:dyDescent="0.25">
      <c r="B262" s="8"/>
      <c r="C262" s="8"/>
      <c r="D262" s="455"/>
      <c r="E262" s="252"/>
      <c r="F262" s="252"/>
      <c r="G262" s="253"/>
    </row>
    <row r="263" spans="2:7" x14ac:dyDescent="0.25">
      <c r="B263" s="8"/>
      <c r="C263" s="8"/>
      <c r="D263" s="455"/>
      <c r="E263" s="252"/>
      <c r="F263" s="252"/>
      <c r="G263" s="253"/>
    </row>
    <row r="264" spans="2:7" x14ac:dyDescent="0.25">
      <c r="B264" s="8"/>
      <c r="C264" s="8"/>
      <c r="D264" s="455"/>
      <c r="E264" s="252"/>
      <c r="F264" s="252"/>
      <c r="G264" s="253"/>
    </row>
    <row r="265" spans="2:7" x14ac:dyDescent="0.25">
      <c r="B265" s="8"/>
      <c r="C265" s="8"/>
      <c r="D265" s="455"/>
      <c r="E265" s="252"/>
      <c r="F265" s="252"/>
      <c r="G265" s="253"/>
    </row>
    <row r="266" spans="2:7" x14ac:dyDescent="0.25">
      <c r="B266" s="8"/>
      <c r="C266" s="8"/>
      <c r="D266" s="455"/>
      <c r="E266" s="252"/>
      <c r="F266" s="252"/>
      <c r="G266" s="253"/>
    </row>
    <row r="267" spans="2:7" x14ac:dyDescent="0.25">
      <c r="B267" s="8"/>
      <c r="C267" s="8"/>
      <c r="D267" s="455"/>
      <c r="E267" s="252"/>
      <c r="F267" s="252"/>
      <c r="G267" s="253"/>
    </row>
    <row r="268" spans="2:7" x14ac:dyDescent="0.25">
      <c r="B268" s="8"/>
      <c r="C268" s="8"/>
      <c r="D268" s="455"/>
      <c r="E268" s="252"/>
      <c r="F268" s="252"/>
      <c r="G268" s="253"/>
    </row>
    <row r="269" spans="2:7" x14ac:dyDescent="0.25">
      <c r="B269" s="8"/>
      <c r="C269" s="8"/>
      <c r="D269" s="455"/>
      <c r="E269" s="252"/>
      <c r="F269" s="252"/>
      <c r="G269" s="253"/>
    </row>
    <row r="270" spans="2:7" x14ac:dyDescent="0.25">
      <c r="B270" s="8"/>
      <c r="C270" s="8"/>
      <c r="D270" s="455"/>
      <c r="E270" s="252"/>
      <c r="F270" s="252"/>
      <c r="G270" s="253"/>
    </row>
    <row r="271" spans="2:7" x14ac:dyDescent="0.25">
      <c r="B271" s="8"/>
      <c r="C271" s="8"/>
      <c r="D271" s="455"/>
      <c r="E271" s="252"/>
      <c r="F271" s="252"/>
      <c r="G271" s="253"/>
    </row>
    <row r="272" spans="2:7" x14ac:dyDescent="0.25">
      <c r="B272" s="8"/>
      <c r="C272" s="8"/>
      <c r="D272" s="455"/>
      <c r="E272" s="252"/>
      <c r="F272" s="252"/>
      <c r="G272" s="253"/>
    </row>
    <row r="273" spans="2:7" x14ac:dyDescent="0.25">
      <c r="B273" s="8"/>
      <c r="C273" s="8"/>
      <c r="D273" s="455"/>
      <c r="E273" s="252"/>
      <c r="F273" s="252"/>
      <c r="G273" s="253"/>
    </row>
    <row r="274" spans="2:7" x14ac:dyDescent="0.25">
      <c r="B274" s="8"/>
      <c r="C274" s="8"/>
      <c r="D274" s="455"/>
      <c r="E274" s="252"/>
      <c r="F274" s="252"/>
      <c r="G274" s="253"/>
    </row>
    <row r="275" spans="2:7" x14ac:dyDescent="0.25">
      <c r="B275" s="8"/>
      <c r="C275" s="8"/>
      <c r="D275" s="455"/>
      <c r="E275" s="252"/>
      <c r="F275" s="252"/>
      <c r="G275" s="253"/>
    </row>
    <row r="276" spans="2:7" x14ac:dyDescent="0.25">
      <c r="B276" s="8"/>
      <c r="C276" s="8"/>
      <c r="D276" s="455"/>
      <c r="E276" s="252"/>
      <c r="F276" s="252"/>
      <c r="G276" s="253"/>
    </row>
    <row r="277" spans="2:7" x14ac:dyDescent="0.25">
      <c r="B277" s="8"/>
      <c r="C277" s="8"/>
      <c r="D277" s="455"/>
      <c r="E277" s="252"/>
      <c r="F277" s="252"/>
      <c r="G277" s="253"/>
    </row>
    <row r="278" spans="2:7" x14ac:dyDescent="0.25">
      <c r="B278" s="8"/>
      <c r="C278" s="8"/>
      <c r="D278" s="455"/>
      <c r="E278" s="252"/>
      <c r="F278" s="252"/>
      <c r="G278" s="253"/>
    </row>
    <row r="279" spans="2:7" x14ac:dyDescent="0.25">
      <c r="B279" s="8"/>
      <c r="C279" s="8"/>
      <c r="D279" s="455"/>
      <c r="E279" s="252"/>
      <c r="F279" s="252"/>
      <c r="G279" s="253"/>
    </row>
    <row r="280" spans="2:7" x14ac:dyDescent="0.25">
      <c r="B280" s="8"/>
      <c r="C280" s="8"/>
      <c r="D280" s="455"/>
      <c r="E280" s="252"/>
      <c r="F280" s="252"/>
      <c r="G280" s="253"/>
    </row>
    <row r="281" spans="2:7" x14ac:dyDescent="0.25">
      <c r="B281" s="8"/>
      <c r="C281" s="8"/>
      <c r="D281" s="455"/>
      <c r="E281" s="252"/>
      <c r="F281" s="252"/>
      <c r="G281" s="253"/>
    </row>
    <row r="282" spans="2:7" x14ac:dyDescent="0.25">
      <c r="B282" s="8"/>
      <c r="C282" s="8"/>
      <c r="D282" s="455"/>
      <c r="E282" s="252"/>
      <c r="F282" s="252"/>
      <c r="G282" s="253"/>
    </row>
    <row r="283" spans="2:7" x14ac:dyDescent="0.25">
      <c r="B283" s="8"/>
      <c r="C283" s="8"/>
      <c r="D283" s="455"/>
      <c r="E283" s="252"/>
      <c r="F283" s="252"/>
      <c r="G283" s="253"/>
    </row>
    <row r="284" spans="2:7" x14ac:dyDescent="0.25">
      <c r="B284" s="8"/>
      <c r="C284" s="8"/>
      <c r="D284" s="455"/>
      <c r="E284" s="252"/>
      <c r="F284" s="252"/>
      <c r="G284" s="253"/>
    </row>
    <row r="285" spans="2:7" x14ac:dyDescent="0.25">
      <c r="B285" s="8"/>
      <c r="C285" s="8"/>
      <c r="D285" s="455"/>
      <c r="E285" s="252"/>
      <c r="F285" s="252"/>
      <c r="G285" s="253"/>
    </row>
    <row r="286" spans="2:7" x14ac:dyDescent="0.25">
      <c r="B286" s="8"/>
      <c r="C286" s="8"/>
      <c r="D286" s="455"/>
      <c r="E286" s="252"/>
      <c r="F286" s="252"/>
      <c r="G286" s="253"/>
    </row>
    <row r="287" spans="2:7" x14ac:dyDescent="0.25">
      <c r="B287" s="8"/>
      <c r="C287" s="8"/>
      <c r="D287" s="455"/>
      <c r="E287" s="252"/>
      <c r="F287" s="252"/>
      <c r="G287" s="253"/>
    </row>
    <row r="288" spans="2:7" x14ac:dyDescent="0.25">
      <c r="B288" s="8"/>
      <c r="C288" s="8"/>
      <c r="D288" s="455"/>
      <c r="E288" s="252"/>
      <c r="F288" s="252"/>
      <c r="G288" s="253"/>
    </row>
    <row r="289" spans="2:7" x14ac:dyDescent="0.25">
      <c r="B289" s="8"/>
      <c r="C289" s="8"/>
      <c r="D289" s="455"/>
      <c r="E289" s="252"/>
      <c r="F289" s="252"/>
      <c r="G289" s="253"/>
    </row>
    <row r="290" spans="2:7" x14ac:dyDescent="0.25">
      <c r="B290" s="8"/>
      <c r="C290" s="8"/>
      <c r="D290" s="455"/>
      <c r="E290" s="252"/>
      <c r="F290" s="252"/>
      <c r="G290" s="253"/>
    </row>
    <row r="291" spans="2:7" x14ac:dyDescent="0.25">
      <c r="B291" s="8"/>
      <c r="C291" s="8"/>
      <c r="D291" s="455"/>
      <c r="E291" s="252"/>
      <c r="F291" s="252"/>
      <c r="G291" s="253"/>
    </row>
    <row r="292" spans="2:7" x14ac:dyDescent="0.25">
      <c r="B292" s="8"/>
      <c r="C292" s="8"/>
      <c r="D292" s="455"/>
      <c r="E292" s="252"/>
      <c r="F292" s="252"/>
      <c r="G292" s="253"/>
    </row>
    <row r="293" spans="2:7" x14ac:dyDescent="0.25">
      <c r="B293" s="8"/>
      <c r="C293" s="8"/>
      <c r="D293" s="455"/>
      <c r="E293" s="252"/>
      <c r="F293" s="252"/>
      <c r="G293" s="253"/>
    </row>
    <row r="294" spans="2:7" x14ac:dyDescent="0.25">
      <c r="B294" s="8"/>
      <c r="C294" s="8"/>
      <c r="D294" s="455"/>
      <c r="E294" s="252"/>
      <c r="F294" s="252"/>
      <c r="G294" s="253"/>
    </row>
    <row r="295" spans="2:7" x14ac:dyDescent="0.25">
      <c r="B295" s="8"/>
      <c r="C295" s="8"/>
      <c r="D295" s="455"/>
      <c r="E295" s="252"/>
      <c r="F295" s="252"/>
      <c r="G295" s="253"/>
    </row>
    <row r="296" spans="2:7" x14ac:dyDescent="0.25">
      <c r="B296" s="8"/>
      <c r="C296" s="8"/>
      <c r="D296" s="455"/>
      <c r="E296" s="252"/>
      <c r="F296" s="252"/>
      <c r="G296" s="253"/>
    </row>
    <row r="297" spans="2:7" x14ac:dyDescent="0.25">
      <c r="B297" s="8"/>
      <c r="C297" s="8"/>
      <c r="D297" s="455"/>
      <c r="E297" s="252"/>
      <c r="F297" s="252"/>
      <c r="G297" s="253"/>
    </row>
    <row r="298" spans="2:7" x14ac:dyDescent="0.25">
      <c r="B298" s="8"/>
      <c r="C298" s="8"/>
      <c r="D298" s="455"/>
      <c r="E298" s="252"/>
      <c r="F298" s="252"/>
      <c r="G298" s="253"/>
    </row>
    <row r="299" spans="2:7" x14ac:dyDescent="0.25">
      <c r="B299" s="8"/>
      <c r="C299" s="8"/>
      <c r="D299" s="455"/>
      <c r="E299" s="252"/>
      <c r="F299" s="252"/>
      <c r="G299" s="253"/>
    </row>
    <row r="300" spans="2:7" x14ac:dyDescent="0.25">
      <c r="B300" s="8"/>
      <c r="C300" s="8"/>
      <c r="D300" s="455"/>
      <c r="E300" s="252"/>
      <c r="F300" s="252"/>
      <c r="G300" s="253"/>
    </row>
    <row r="301" spans="2:7" x14ac:dyDescent="0.25">
      <c r="B301" s="8"/>
      <c r="C301" s="8"/>
      <c r="D301" s="455"/>
      <c r="E301" s="252"/>
      <c r="F301" s="252"/>
      <c r="G301" s="253"/>
    </row>
    <row r="302" spans="2:7" x14ac:dyDescent="0.25">
      <c r="B302" s="8"/>
      <c r="C302" s="8"/>
      <c r="D302" s="455"/>
      <c r="E302" s="252"/>
      <c r="F302" s="252"/>
      <c r="G302" s="253"/>
    </row>
    <row r="303" spans="2:7" x14ac:dyDescent="0.25">
      <c r="B303" s="8"/>
      <c r="C303" s="8"/>
      <c r="D303" s="455"/>
      <c r="E303" s="252"/>
      <c r="F303" s="252"/>
      <c r="G303" s="253"/>
    </row>
    <row r="304" spans="2:7" x14ac:dyDescent="0.25">
      <c r="B304" s="8"/>
      <c r="C304" s="8"/>
      <c r="D304" s="455"/>
      <c r="E304" s="252"/>
      <c r="F304" s="252"/>
      <c r="G304" s="253"/>
    </row>
    <row r="305" spans="2:7" x14ac:dyDescent="0.25">
      <c r="B305" s="8"/>
      <c r="C305" s="8"/>
      <c r="D305" s="455"/>
      <c r="E305" s="252"/>
      <c r="F305" s="252"/>
      <c r="G305" s="253"/>
    </row>
    <row r="306" spans="2:7" x14ac:dyDescent="0.25">
      <c r="B306" s="8"/>
      <c r="C306" s="8"/>
      <c r="D306" s="455"/>
      <c r="E306" s="252"/>
      <c r="F306" s="252"/>
      <c r="G306" s="253"/>
    </row>
    <row r="307" spans="2:7" x14ac:dyDescent="0.25">
      <c r="B307" s="8"/>
      <c r="C307" s="8"/>
      <c r="D307" s="455"/>
      <c r="E307" s="252"/>
      <c r="F307" s="252"/>
      <c r="G307" s="253"/>
    </row>
    <row r="308" spans="2:7" x14ac:dyDescent="0.25">
      <c r="B308" s="8"/>
      <c r="C308" s="8"/>
      <c r="D308" s="455"/>
      <c r="E308" s="252"/>
      <c r="F308" s="252"/>
      <c r="G308" s="253"/>
    </row>
    <row r="309" spans="2:7" x14ac:dyDescent="0.25">
      <c r="B309" s="8"/>
      <c r="C309" s="8"/>
      <c r="D309" s="455"/>
      <c r="E309" s="252"/>
      <c r="F309" s="252"/>
      <c r="G309" s="253"/>
    </row>
    <row r="310" spans="2:7" x14ac:dyDescent="0.25">
      <c r="B310" s="8"/>
      <c r="C310" s="8"/>
      <c r="D310" s="455"/>
      <c r="E310" s="252"/>
      <c r="F310" s="252"/>
      <c r="G310" s="253"/>
    </row>
    <row r="311" spans="2:7" x14ac:dyDescent="0.25">
      <c r="B311" s="8"/>
      <c r="C311" s="8"/>
      <c r="D311" s="455"/>
      <c r="E311" s="252"/>
      <c r="F311" s="252"/>
      <c r="G311" s="253"/>
    </row>
    <row r="312" spans="2:7" x14ac:dyDescent="0.25">
      <c r="B312" s="8"/>
      <c r="C312" s="8"/>
      <c r="D312" s="455"/>
      <c r="E312" s="252"/>
      <c r="F312" s="252"/>
      <c r="G312" s="253"/>
    </row>
    <row r="313" spans="2:7" x14ac:dyDescent="0.25">
      <c r="B313" s="8"/>
      <c r="C313" s="8"/>
      <c r="D313" s="455"/>
      <c r="E313" s="252"/>
      <c r="F313" s="252"/>
      <c r="G313" s="253"/>
    </row>
    <row r="314" spans="2:7" x14ac:dyDescent="0.25">
      <c r="B314" s="8"/>
      <c r="C314" s="8"/>
      <c r="D314" s="455"/>
      <c r="E314" s="252"/>
      <c r="F314" s="252"/>
      <c r="G314" s="253"/>
    </row>
    <row r="315" spans="2:7" x14ac:dyDescent="0.25">
      <c r="B315" s="8"/>
      <c r="C315" s="8"/>
      <c r="D315" s="455"/>
      <c r="E315" s="252"/>
      <c r="F315" s="252"/>
      <c r="G315" s="253"/>
    </row>
    <row r="316" spans="2:7" x14ac:dyDescent="0.25">
      <c r="B316" s="8"/>
      <c r="C316" s="8"/>
      <c r="D316" s="455"/>
      <c r="E316" s="252"/>
      <c r="F316" s="252"/>
      <c r="G316" s="253"/>
    </row>
    <row r="317" spans="2:7" x14ac:dyDescent="0.25">
      <c r="B317" s="8"/>
      <c r="C317" s="8"/>
      <c r="D317" s="455"/>
      <c r="E317" s="252"/>
      <c r="F317" s="252"/>
      <c r="G317" s="253"/>
    </row>
    <row r="318" spans="2:7" x14ac:dyDescent="0.25">
      <c r="B318" s="8"/>
      <c r="C318" s="8"/>
      <c r="D318" s="455"/>
      <c r="E318" s="252"/>
      <c r="F318" s="252"/>
      <c r="G318" s="253"/>
    </row>
    <row r="319" spans="2:7" x14ac:dyDescent="0.25">
      <c r="B319" s="8"/>
      <c r="C319" s="8"/>
      <c r="D319" s="455"/>
      <c r="E319" s="252"/>
      <c r="F319" s="252"/>
      <c r="G319" s="253"/>
    </row>
    <row r="320" spans="2:7" x14ac:dyDescent="0.25">
      <c r="B320" s="8"/>
      <c r="C320" s="8"/>
      <c r="D320" s="455"/>
      <c r="E320" s="252"/>
      <c r="F320" s="252"/>
      <c r="G320" s="253"/>
    </row>
    <row r="321" spans="2:7" x14ac:dyDescent="0.25">
      <c r="B321" s="8"/>
      <c r="C321" s="8"/>
      <c r="D321" s="455"/>
      <c r="E321" s="252"/>
      <c r="F321" s="252"/>
      <c r="G321" s="253"/>
    </row>
    <row r="322" spans="2:7" x14ac:dyDescent="0.25">
      <c r="B322" s="8"/>
      <c r="C322" s="8"/>
      <c r="D322" s="455"/>
      <c r="E322" s="252"/>
      <c r="F322" s="252"/>
      <c r="G322" s="253"/>
    </row>
    <row r="323" spans="2:7" x14ac:dyDescent="0.25">
      <c r="B323" s="8"/>
      <c r="C323" s="8"/>
      <c r="D323" s="455"/>
      <c r="E323" s="252"/>
      <c r="F323" s="252"/>
      <c r="G323" s="253"/>
    </row>
    <row r="324" spans="2:7" x14ac:dyDescent="0.25">
      <c r="B324" s="8"/>
      <c r="C324" s="8"/>
      <c r="D324" s="455"/>
      <c r="E324" s="252"/>
      <c r="F324" s="252"/>
      <c r="G324" s="253"/>
    </row>
    <row r="325" spans="2:7" x14ac:dyDescent="0.25">
      <c r="B325" s="8"/>
      <c r="C325" s="8"/>
      <c r="D325" s="455"/>
      <c r="E325" s="252"/>
      <c r="F325" s="252"/>
      <c r="G325" s="253"/>
    </row>
    <row r="326" spans="2:7" x14ac:dyDescent="0.25">
      <c r="B326" s="8"/>
      <c r="C326" s="8"/>
      <c r="D326" s="455"/>
      <c r="E326" s="252"/>
      <c r="F326" s="252"/>
      <c r="G326" s="253"/>
    </row>
    <row r="327" spans="2:7" x14ac:dyDescent="0.25">
      <c r="B327" s="8"/>
      <c r="C327" s="8"/>
      <c r="D327" s="455"/>
      <c r="E327" s="252"/>
      <c r="F327" s="252"/>
      <c r="G327" s="253"/>
    </row>
    <row r="328" spans="2:7" x14ac:dyDescent="0.25">
      <c r="B328" s="8"/>
      <c r="C328" s="8"/>
      <c r="D328" s="455"/>
      <c r="E328" s="252"/>
      <c r="F328" s="252"/>
      <c r="G328" s="253"/>
    </row>
    <row r="329" spans="2:7" x14ac:dyDescent="0.25">
      <c r="B329" s="8"/>
      <c r="C329" s="8"/>
      <c r="D329" s="455"/>
      <c r="E329" s="252"/>
      <c r="F329" s="252"/>
      <c r="G329" s="253"/>
    </row>
    <row r="330" spans="2:7" x14ac:dyDescent="0.25">
      <c r="B330" s="8"/>
      <c r="C330" s="8"/>
      <c r="D330" s="455"/>
      <c r="E330" s="252"/>
      <c r="F330" s="252"/>
      <c r="G330" s="253"/>
    </row>
    <row r="331" spans="2:7" x14ac:dyDescent="0.25">
      <c r="B331" s="8"/>
      <c r="C331" s="8"/>
      <c r="D331" s="455"/>
      <c r="E331" s="252"/>
      <c r="F331" s="252"/>
      <c r="G331" s="253"/>
    </row>
    <row r="332" spans="2:7" x14ac:dyDescent="0.25">
      <c r="B332" s="8"/>
      <c r="C332" s="8"/>
      <c r="D332" s="455"/>
      <c r="E332" s="252"/>
      <c r="F332" s="252"/>
      <c r="G332" s="253"/>
    </row>
    <row r="333" spans="2:7" x14ac:dyDescent="0.25">
      <c r="B333" s="8"/>
      <c r="C333" s="8"/>
      <c r="D333" s="455"/>
      <c r="E333" s="252"/>
      <c r="F333" s="252"/>
      <c r="G333" s="253"/>
    </row>
    <row r="334" spans="2:7" x14ac:dyDescent="0.25">
      <c r="B334" s="8"/>
      <c r="C334" s="8"/>
      <c r="D334" s="455"/>
      <c r="E334" s="252"/>
      <c r="F334" s="252"/>
      <c r="G334" s="253"/>
    </row>
    <row r="335" spans="2:7" x14ac:dyDescent="0.25">
      <c r="B335" s="8"/>
      <c r="C335" s="8"/>
      <c r="D335" s="455"/>
      <c r="E335" s="252"/>
      <c r="F335" s="252"/>
      <c r="G335" s="253"/>
    </row>
    <row r="336" spans="2:7" x14ac:dyDescent="0.25">
      <c r="B336" s="8"/>
      <c r="C336" s="8"/>
      <c r="D336" s="455"/>
      <c r="E336" s="252"/>
      <c r="F336" s="252"/>
      <c r="G336" s="253"/>
    </row>
    <row r="337" spans="2:7" x14ac:dyDescent="0.25">
      <c r="B337" s="8"/>
      <c r="C337" s="8"/>
      <c r="D337" s="455"/>
      <c r="E337" s="252"/>
      <c r="F337" s="252"/>
      <c r="G337" s="253"/>
    </row>
    <row r="338" spans="2:7" x14ac:dyDescent="0.25">
      <c r="B338" s="8"/>
      <c r="C338" s="8"/>
      <c r="D338" s="455"/>
      <c r="E338" s="252"/>
      <c r="F338" s="252"/>
      <c r="G338" s="253"/>
    </row>
    <row r="339" spans="2:7" x14ac:dyDescent="0.25">
      <c r="B339" s="8"/>
      <c r="C339" s="8"/>
      <c r="D339" s="455"/>
      <c r="E339" s="252"/>
      <c r="F339" s="252"/>
      <c r="G339" s="253"/>
    </row>
    <row r="340" spans="2:7" x14ac:dyDescent="0.25">
      <c r="B340" s="8"/>
      <c r="C340" s="8"/>
      <c r="D340" s="455"/>
      <c r="E340" s="252"/>
      <c r="F340" s="252"/>
      <c r="G340" s="253"/>
    </row>
    <row r="341" spans="2:7" x14ac:dyDescent="0.25">
      <c r="B341" s="8"/>
      <c r="C341" s="8"/>
      <c r="D341" s="455"/>
      <c r="E341" s="252"/>
      <c r="F341" s="252"/>
      <c r="G341" s="253"/>
    </row>
    <row r="342" spans="2:7" x14ac:dyDescent="0.25">
      <c r="B342" s="8"/>
      <c r="C342" s="8"/>
      <c r="D342" s="455"/>
      <c r="E342" s="252"/>
      <c r="F342" s="252"/>
      <c r="G342" s="253"/>
    </row>
    <row r="343" spans="2:7" x14ac:dyDescent="0.25">
      <c r="B343" s="8"/>
      <c r="C343" s="8"/>
      <c r="D343" s="455"/>
      <c r="E343" s="252"/>
      <c r="F343" s="252"/>
      <c r="G343" s="253"/>
    </row>
    <row r="344" spans="2:7" x14ac:dyDescent="0.25">
      <c r="B344" s="8"/>
      <c r="C344" s="8"/>
      <c r="D344" s="455"/>
      <c r="E344" s="252"/>
      <c r="F344" s="252"/>
      <c r="G344" s="253"/>
    </row>
    <row r="345" spans="2:7" x14ac:dyDescent="0.25">
      <c r="B345" s="8"/>
      <c r="C345" s="8"/>
      <c r="D345" s="455"/>
      <c r="E345" s="252"/>
      <c r="F345" s="252"/>
      <c r="G345" s="253"/>
    </row>
    <row r="346" spans="2:7" x14ac:dyDescent="0.25">
      <c r="B346" s="8"/>
      <c r="C346" s="8"/>
      <c r="D346" s="455"/>
      <c r="E346" s="252"/>
      <c r="F346" s="252"/>
      <c r="G346" s="253"/>
    </row>
    <row r="347" spans="2:7" x14ac:dyDescent="0.25">
      <c r="B347" s="8"/>
      <c r="C347" s="8"/>
      <c r="D347" s="455"/>
      <c r="E347" s="252"/>
      <c r="F347" s="252"/>
      <c r="G347" s="253"/>
    </row>
    <row r="348" spans="2:7" x14ac:dyDescent="0.25">
      <c r="B348" s="8"/>
      <c r="C348" s="8"/>
      <c r="D348" s="455"/>
      <c r="E348" s="252"/>
      <c r="F348" s="252"/>
      <c r="G348" s="253"/>
    </row>
    <row r="349" spans="2:7" x14ac:dyDescent="0.25">
      <c r="B349" s="8"/>
      <c r="C349" s="8"/>
      <c r="D349" s="455"/>
      <c r="E349" s="252"/>
      <c r="F349" s="252"/>
      <c r="G349" s="253"/>
    </row>
    <row r="350" spans="2:7" x14ac:dyDescent="0.25">
      <c r="B350" s="8"/>
      <c r="C350" s="8"/>
      <c r="D350" s="455"/>
      <c r="E350" s="252"/>
      <c r="F350" s="252"/>
      <c r="G350" s="253"/>
    </row>
    <row r="351" spans="2:7" x14ac:dyDescent="0.25">
      <c r="B351" s="8"/>
      <c r="C351" s="8"/>
      <c r="D351" s="455"/>
      <c r="E351" s="252"/>
      <c r="F351" s="252"/>
      <c r="G351" s="253"/>
    </row>
    <row r="352" spans="2:7" x14ac:dyDescent="0.25">
      <c r="B352" s="8"/>
      <c r="C352" s="8"/>
      <c r="D352" s="455"/>
      <c r="E352" s="252"/>
      <c r="F352" s="252"/>
      <c r="G352" s="253"/>
    </row>
    <row r="353" spans="2:7" x14ac:dyDescent="0.25">
      <c r="B353" s="8"/>
      <c r="C353" s="8"/>
      <c r="D353" s="455"/>
      <c r="E353" s="252"/>
      <c r="F353" s="252"/>
      <c r="G353" s="253"/>
    </row>
    <row r="354" spans="2:7" x14ac:dyDescent="0.25">
      <c r="B354" s="8"/>
      <c r="C354" s="8"/>
      <c r="D354" s="455"/>
      <c r="E354" s="252"/>
      <c r="F354" s="252"/>
      <c r="G354" s="253"/>
    </row>
    <row r="355" spans="2:7" x14ac:dyDescent="0.25">
      <c r="B355" s="8"/>
      <c r="C355" s="8"/>
      <c r="D355" s="455"/>
      <c r="E355" s="252"/>
      <c r="F355" s="252"/>
      <c r="G355" s="253"/>
    </row>
    <row r="356" spans="2:7" x14ac:dyDescent="0.25">
      <c r="B356" s="8"/>
      <c r="C356" s="8"/>
      <c r="D356" s="455"/>
      <c r="E356" s="252"/>
      <c r="F356" s="252"/>
      <c r="G356" s="253"/>
    </row>
    <row r="357" spans="2:7" x14ac:dyDescent="0.25">
      <c r="B357" s="8"/>
      <c r="C357" s="8"/>
      <c r="D357" s="455"/>
      <c r="E357" s="252"/>
      <c r="F357" s="252"/>
      <c r="G357" s="253"/>
    </row>
    <row r="358" spans="2:7" x14ac:dyDescent="0.25">
      <c r="B358" s="8"/>
      <c r="C358" s="8"/>
      <c r="D358" s="455"/>
      <c r="E358" s="252"/>
      <c r="F358" s="252"/>
      <c r="G358" s="253"/>
    </row>
    <row r="359" spans="2:7" x14ac:dyDescent="0.25">
      <c r="B359" s="8"/>
      <c r="C359" s="8"/>
      <c r="D359" s="455"/>
      <c r="E359" s="252"/>
      <c r="F359" s="252"/>
      <c r="G359" s="253"/>
    </row>
    <row r="360" spans="2:7" x14ac:dyDescent="0.25">
      <c r="B360" s="8"/>
      <c r="C360" s="8"/>
      <c r="D360" s="455"/>
      <c r="E360" s="252"/>
      <c r="F360" s="252"/>
      <c r="G360" s="253"/>
    </row>
    <row r="361" spans="2:7" x14ac:dyDescent="0.25">
      <c r="B361" s="8"/>
      <c r="C361" s="8"/>
      <c r="D361" s="455"/>
      <c r="E361" s="252"/>
      <c r="F361" s="252"/>
      <c r="G361" s="253"/>
    </row>
    <row r="362" spans="2:7" x14ac:dyDescent="0.25">
      <c r="B362" s="8"/>
      <c r="C362" s="8"/>
      <c r="D362" s="455"/>
      <c r="E362" s="252"/>
      <c r="F362" s="252"/>
      <c r="G362" s="253"/>
    </row>
    <row r="363" spans="2:7" x14ac:dyDescent="0.25">
      <c r="B363" s="8"/>
      <c r="C363" s="8"/>
      <c r="D363" s="455"/>
      <c r="E363" s="252"/>
      <c r="F363" s="252"/>
      <c r="G363" s="253"/>
    </row>
    <row r="364" spans="2:7" x14ac:dyDescent="0.25">
      <c r="B364" s="8"/>
      <c r="C364" s="8"/>
      <c r="D364" s="455"/>
      <c r="E364" s="252"/>
      <c r="F364" s="252"/>
      <c r="G364" s="253"/>
    </row>
    <row r="365" spans="2:7" x14ac:dyDescent="0.25">
      <c r="B365" s="8"/>
      <c r="C365" s="8"/>
      <c r="D365" s="455"/>
      <c r="E365" s="252"/>
      <c r="F365" s="252"/>
      <c r="G365" s="253"/>
    </row>
    <row r="366" spans="2:7" x14ac:dyDescent="0.25">
      <c r="B366" s="8"/>
      <c r="C366" s="8"/>
      <c r="D366" s="455"/>
      <c r="E366" s="252"/>
      <c r="F366" s="252"/>
      <c r="G366" s="253"/>
    </row>
    <row r="367" spans="2:7" x14ac:dyDescent="0.25">
      <c r="B367" s="8"/>
      <c r="C367" s="8"/>
      <c r="D367" s="455"/>
      <c r="E367" s="252"/>
      <c r="F367" s="252"/>
      <c r="G367" s="253"/>
    </row>
    <row r="368" spans="2:7" x14ac:dyDescent="0.25">
      <c r="B368" s="8"/>
      <c r="C368" s="8"/>
      <c r="D368" s="455"/>
      <c r="E368" s="252"/>
      <c r="F368" s="252"/>
      <c r="G368" s="253"/>
    </row>
    <row r="369" spans="2:7" x14ac:dyDescent="0.25">
      <c r="B369" s="8"/>
      <c r="C369" s="8"/>
      <c r="D369" s="455"/>
      <c r="E369" s="252"/>
      <c r="F369" s="252"/>
      <c r="G369" s="253"/>
    </row>
    <row r="370" spans="2:7" x14ac:dyDescent="0.25">
      <c r="B370" s="8"/>
      <c r="C370" s="8"/>
      <c r="D370" s="455"/>
      <c r="E370" s="252"/>
      <c r="F370" s="252"/>
      <c r="G370" s="253"/>
    </row>
    <row r="371" spans="2:7" x14ac:dyDescent="0.25">
      <c r="B371" s="8"/>
      <c r="C371" s="8"/>
      <c r="D371" s="455"/>
      <c r="E371" s="252"/>
      <c r="F371" s="252"/>
      <c r="G371" s="253"/>
    </row>
    <row r="372" spans="2:7" x14ac:dyDescent="0.25">
      <c r="B372" s="8"/>
      <c r="C372" s="8"/>
      <c r="D372" s="455"/>
      <c r="E372" s="252"/>
      <c r="F372" s="252"/>
      <c r="G372" s="253"/>
    </row>
    <row r="373" spans="2:7" x14ac:dyDescent="0.25">
      <c r="B373" s="8"/>
      <c r="C373" s="8"/>
      <c r="D373" s="455"/>
      <c r="E373" s="252"/>
      <c r="F373" s="252"/>
      <c r="G373" s="253"/>
    </row>
    <row r="374" spans="2:7" x14ac:dyDescent="0.25">
      <c r="B374" s="8"/>
      <c r="C374" s="8"/>
      <c r="D374" s="455"/>
      <c r="E374" s="252"/>
      <c r="F374" s="252"/>
      <c r="G374" s="253"/>
    </row>
    <row r="375" spans="2:7" x14ac:dyDescent="0.25">
      <c r="B375" s="8"/>
      <c r="C375" s="8"/>
      <c r="D375" s="455"/>
      <c r="E375" s="252"/>
      <c r="F375" s="252"/>
      <c r="G375" s="253"/>
    </row>
    <row r="376" spans="2:7" x14ac:dyDescent="0.25">
      <c r="B376" s="8"/>
      <c r="C376" s="8"/>
      <c r="D376" s="455"/>
      <c r="E376" s="252"/>
      <c r="F376" s="252"/>
      <c r="G376" s="253"/>
    </row>
    <row r="377" spans="2:7" x14ac:dyDescent="0.25">
      <c r="B377" s="8"/>
      <c r="C377" s="8"/>
      <c r="D377" s="455"/>
      <c r="E377" s="252"/>
      <c r="F377" s="252"/>
      <c r="G377" s="253"/>
    </row>
    <row r="378" spans="2:7" x14ac:dyDescent="0.25">
      <c r="B378" s="8"/>
      <c r="C378" s="8"/>
      <c r="D378" s="455"/>
      <c r="E378" s="252"/>
      <c r="F378" s="252"/>
      <c r="G378" s="253"/>
    </row>
    <row r="379" spans="2:7" x14ac:dyDescent="0.25">
      <c r="B379" s="8"/>
      <c r="C379" s="8"/>
      <c r="D379" s="455"/>
      <c r="E379" s="252"/>
      <c r="F379" s="252"/>
      <c r="G379" s="253"/>
    </row>
    <row r="380" spans="2:7" x14ac:dyDescent="0.25">
      <c r="B380" s="8"/>
      <c r="C380" s="8"/>
      <c r="D380" s="455"/>
      <c r="E380" s="252"/>
      <c r="F380" s="252"/>
      <c r="G380" s="253"/>
    </row>
    <row r="381" spans="2:7" x14ac:dyDescent="0.25">
      <c r="B381" s="8"/>
      <c r="C381" s="8"/>
      <c r="D381" s="455"/>
      <c r="E381" s="252"/>
      <c r="F381" s="252"/>
      <c r="G381" s="253"/>
    </row>
    <row r="382" spans="2:7" x14ac:dyDescent="0.25">
      <c r="B382" s="8"/>
      <c r="C382" s="8"/>
      <c r="D382" s="455"/>
      <c r="E382" s="252"/>
      <c r="F382" s="252"/>
      <c r="G382" s="253"/>
    </row>
    <row r="383" spans="2:7" x14ac:dyDescent="0.25">
      <c r="B383" s="8"/>
      <c r="C383" s="8"/>
      <c r="D383" s="455"/>
      <c r="E383" s="252"/>
      <c r="F383" s="252"/>
      <c r="G383" s="253"/>
    </row>
    <row r="384" spans="2:7" x14ac:dyDescent="0.25">
      <c r="B384" s="8"/>
      <c r="C384" s="8"/>
      <c r="D384" s="455"/>
      <c r="E384" s="252"/>
      <c r="F384" s="252"/>
      <c r="G384" s="253"/>
    </row>
    <row r="385" spans="2:7" x14ac:dyDescent="0.25">
      <c r="B385" s="8"/>
      <c r="C385" s="8"/>
      <c r="D385" s="455"/>
      <c r="E385" s="252"/>
      <c r="F385" s="252"/>
      <c r="G385" s="253"/>
    </row>
    <row r="386" spans="2:7" x14ac:dyDescent="0.25">
      <c r="B386" s="8"/>
      <c r="C386" s="8"/>
      <c r="D386" s="455"/>
      <c r="E386" s="252"/>
      <c r="F386" s="252"/>
      <c r="G386" s="253"/>
    </row>
    <row r="387" spans="2:7" x14ac:dyDescent="0.25">
      <c r="B387" s="8"/>
      <c r="C387" s="8"/>
      <c r="D387" s="455"/>
      <c r="E387" s="252"/>
      <c r="F387" s="252"/>
      <c r="G387" s="253"/>
    </row>
    <row r="388" spans="2:7" x14ac:dyDescent="0.25">
      <c r="B388" s="8"/>
      <c r="C388" s="8"/>
      <c r="D388" s="455"/>
      <c r="E388" s="252"/>
      <c r="F388" s="252"/>
      <c r="G388" s="253"/>
    </row>
    <row r="389" spans="2:7" x14ac:dyDescent="0.25">
      <c r="B389" s="8"/>
      <c r="C389" s="8"/>
      <c r="D389" s="455"/>
      <c r="E389" s="252"/>
      <c r="F389" s="252"/>
      <c r="G389" s="253"/>
    </row>
    <row r="390" spans="2:7" x14ac:dyDescent="0.25">
      <c r="B390" s="8"/>
      <c r="C390" s="8"/>
      <c r="D390" s="455"/>
      <c r="E390" s="252"/>
      <c r="F390" s="252"/>
      <c r="G390" s="253"/>
    </row>
    <row r="391" spans="2:7" x14ac:dyDescent="0.25">
      <c r="B391" s="8"/>
      <c r="C391" s="8"/>
      <c r="D391" s="455"/>
      <c r="E391" s="252"/>
      <c r="F391" s="252"/>
      <c r="G391" s="253"/>
    </row>
    <row r="392" spans="2:7" x14ac:dyDescent="0.25">
      <c r="B392" s="8"/>
      <c r="C392" s="8"/>
      <c r="D392" s="455"/>
      <c r="E392" s="252"/>
      <c r="F392" s="252"/>
      <c r="G392" s="253"/>
    </row>
    <row r="393" spans="2:7" x14ac:dyDescent="0.25">
      <c r="B393" s="8"/>
      <c r="C393" s="8"/>
      <c r="D393" s="455"/>
      <c r="E393" s="252"/>
      <c r="F393" s="252"/>
      <c r="G393" s="253"/>
    </row>
    <row r="394" spans="2:7" x14ac:dyDescent="0.25">
      <c r="B394" s="8"/>
      <c r="C394" s="8"/>
      <c r="D394" s="455"/>
      <c r="E394" s="252"/>
      <c r="F394" s="252"/>
      <c r="G394" s="253"/>
    </row>
    <row r="395" spans="2:7" x14ac:dyDescent="0.25">
      <c r="B395" s="8"/>
      <c r="C395" s="8"/>
      <c r="D395" s="455"/>
      <c r="E395" s="252"/>
      <c r="F395" s="252"/>
      <c r="G395" s="253"/>
    </row>
    <row r="396" spans="2:7" x14ac:dyDescent="0.25">
      <c r="B396" s="8"/>
      <c r="C396" s="8"/>
      <c r="D396" s="455"/>
      <c r="E396" s="252"/>
      <c r="F396" s="252"/>
      <c r="G396" s="253"/>
    </row>
    <row r="397" spans="2:7" x14ac:dyDescent="0.25">
      <c r="B397" s="8"/>
      <c r="C397" s="8"/>
      <c r="D397" s="455"/>
      <c r="E397" s="252"/>
      <c r="F397" s="252"/>
      <c r="G397" s="253"/>
    </row>
    <row r="398" spans="2:7" x14ac:dyDescent="0.25">
      <c r="B398" s="8"/>
      <c r="C398" s="8"/>
      <c r="D398" s="455"/>
      <c r="E398" s="252"/>
      <c r="F398" s="252"/>
      <c r="G398" s="253"/>
    </row>
    <row r="399" spans="2:7" x14ac:dyDescent="0.25">
      <c r="B399" s="8"/>
      <c r="C399" s="8"/>
      <c r="D399" s="455"/>
      <c r="E399" s="252"/>
      <c r="F399" s="252"/>
      <c r="G399" s="253"/>
    </row>
    <row r="400" spans="2:7" x14ac:dyDescent="0.25">
      <c r="B400" s="8"/>
      <c r="C400" s="8"/>
      <c r="D400" s="455"/>
      <c r="E400" s="252"/>
      <c r="F400" s="252"/>
      <c r="G400" s="253"/>
    </row>
    <row r="401" spans="2:7" x14ac:dyDescent="0.25">
      <c r="B401" s="8"/>
      <c r="C401" s="8"/>
      <c r="D401" s="455"/>
      <c r="E401" s="252"/>
      <c r="F401" s="252"/>
      <c r="G401" s="253"/>
    </row>
    <row r="402" spans="2:7" x14ac:dyDescent="0.25">
      <c r="B402" s="8"/>
      <c r="C402" s="8"/>
      <c r="D402" s="455"/>
      <c r="E402" s="252"/>
      <c r="F402" s="252"/>
      <c r="G402" s="253"/>
    </row>
    <row r="403" spans="2:7" x14ac:dyDescent="0.25">
      <c r="B403" s="8"/>
      <c r="C403" s="8"/>
      <c r="D403" s="455"/>
      <c r="E403" s="252"/>
      <c r="F403" s="252"/>
      <c r="G403" s="253"/>
    </row>
    <row r="404" spans="2:7" x14ac:dyDescent="0.25">
      <c r="B404" s="8"/>
      <c r="C404" s="8"/>
      <c r="D404" s="455"/>
      <c r="E404" s="252"/>
      <c r="F404" s="252"/>
      <c r="G404" s="253"/>
    </row>
    <row r="405" spans="2:7" x14ac:dyDescent="0.25">
      <c r="B405" s="8"/>
      <c r="C405" s="8"/>
      <c r="D405" s="455"/>
      <c r="E405" s="252"/>
      <c r="F405" s="252"/>
      <c r="G405" s="253"/>
    </row>
    <row r="406" spans="2:7" x14ac:dyDescent="0.25">
      <c r="B406" s="8"/>
      <c r="C406" s="8"/>
      <c r="D406" s="455"/>
      <c r="E406" s="252"/>
      <c r="F406" s="252"/>
      <c r="G406" s="253"/>
    </row>
    <row r="407" spans="2:7" x14ac:dyDescent="0.25">
      <c r="B407" s="8"/>
      <c r="C407" s="8"/>
      <c r="D407" s="455"/>
      <c r="E407" s="252"/>
      <c r="F407" s="252"/>
      <c r="G407" s="253"/>
    </row>
    <row r="408" spans="2:7" x14ac:dyDescent="0.25">
      <c r="B408" s="8"/>
      <c r="C408" s="8"/>
      <c r="D408" s="455"/>
      <c r="E408" s="252"/>
      <c r="F408" s="252"/>
      <c r="G408" s="253"/>
    </row>
    <row r="409" spans="2:7" x14ac:dyDescent="0.25">
      <c r="B409" s="8"/>
      <c r="C409" s="8"/>
      <c r="D409" s="455"/>
      <c r="E409" s="252"/>
      <c r="F409" s="252"/>
      <c r="G409" s="253"/>
    </row>
    <row r="410" spans="2:7" x14ac:dyDescent="0.25">
      <c r="B410" s="8"/>
      <c r="C410" s="8"/>
      <c r="D410" s="455"/>
      <c r="E410" s="252"/>
      <c r="F410" s="252"/>
      <c r="G410" s="253"/>
    </row>
    <row r="411" spans="2:7" x14ac:dyDescent="0.25">
      <c r="B411" s="8"/>
      <c r="C411" s="8"/>
      <c r="D411" s="455"/>
      <c r="E411" s="252"/>
      <c r="F411" s="252"/>
      <c r="G411" s="253"/>
    </row>
    <row r="412" spans="2:7" x14ac:dyDescent="0.25">
      <c r="B412" s="8"/>
      <c r="C412" s="8"/>
      <c r="D412" s="455"/>
      <c r="E412" s="252"/>
      <c r="F412" s="252"/>
      <c r="G412" s="253"/>
    </row>
    <row r="413" spans="2:7" x14ac:dyDescent="0.25">
      <c r="B413" s="8"/>
      <c r="C413" s="8"/>
      <c r="D413" s="455"/>
      <c r="E413" s="252"/>
      <c r="F413" s="252"/>
      <c r="G413" s="253"/>
    </row>
    <row r="414" spans="2:7" x14ac:dyDescent="0.25">
      <c r="B414" s="8"/>
      <c r="C414" s="8"/>
      <c r="D414" s="455"/>
      <c r="E414" s="252"/>
      <c r="F414" s="252"/>
      <c r="G414" s="253"/>
    </row>
    <row r="415" spans="2:7" x14ac:dyDescent="0.25">
      <c r="B415" s="8"/>
      <c r="C415" s="8"/>
      <c r="D415" s="455"/>
      <c r="E415" s="252"/>
      <c r="F415" s="252"/>
      <c r="G415" s="253"/>
    </row>
    <row r="416" spans="2:7" x14ac:dyDescent="0.25">
      <c r="B416" s="8"/>
      <c r="C416" s="8"/>
      <c r="D416" s="455"/>
      <c r="E416" s="252"/>
      <c r="F416" s="252"/>
      <c r="G416" s="253"/>
    </row>
    <row r="417" spans="2:7" x14ac:dyDescent="0.25">
      <c r="B417" s="8"/>
      <c r="C417" s="8"/>
      <c r="D417" s="455"/>
      <c r="E417" s="252"/>
      <c r="F417" s="252"/>
      <c r="G417" s="253"/>
    </row>
    <row r="418" spans="2:7" x14ac:dyDescent="0.25">
      <c r="B418" s="8"/>
      <c r="C418" s="8"/>
      <c r="D418" s="455"/>
      <c r="E418" s="252"/>
      <c r="F418" s="252"/>
      <c r="G418" s="253"/>
    </row>
    <row r="419" spans="2:7" x14ac:dyDescent="0.25">
      <c r="B419" s="8"/>
      <c r="C419" s="8"/>
      <c r="D419" s="455"/>
      <c r="E419" s="252"/>
      <c r="F419" s="252"/>
      <c r="G419" s="253"/>
    </row>
    <row r="420" spans="2:7" x14ac:dyDescent="0.25">
      <c r="B420" s="8"/>
      <c r="C420" s="8"/>
      <c r="D420" s="455"/>
      <c r="E420" s="252"/>
      <c r="F420" s="252"/>
      <c r="G420" s="253"/>
    </row>
    <row r="421" spans="2:7" x14ac:dyDescent="0.25">
      <c r="B421" s="8"/>
      <c r="C421" s="8"/>
      <c r="D421" s="455"/>
      <c r="E421" s="252"/>
      <c r="F421" s="252"/>
      <c r="G421" s="253"/>
    </row>
    <row r="422" spans="2:7" x14ac:dyDescent="0.25">
      <c r="B422" s="8"/>
      <c r="C422" s="8"/>
      <c r="D422" s="455"/>
      <c r="E422" s="252"/>
      <c r="F422" s="252"/>
      <c r="G422" s="253"/>
    </row>
    <row r="423" spans="2:7" x14ac:dyDescent="0.25">
      <c r="B423" s="8"/>
      <c r="C423" s="8"/>
      <c r="D423" s="455"/>
      <c r="E423" s="252"/>
      <c r="F423" s="252"/>
      <c r="G423" s="253"/>
    </row>
    <row r="424" spans="2:7" x14ac:dyDescent="0.25">
      <c r="B424" s="8"/>
      <c r="C424" s="8"/>
      <c r="D424" s="455"/>
      <c r="E424" s="252"/>
      <c r="F424" s="252"/>
      <c r="G424" s="253"/>
    </row>
    <row r="425" spans="2:7" x14ac:dyDescent="0.25">
      <c r="B425" s="8"/>
      <c r="C425" s="8"/>
      <c r="D425" s="455"/>
      <c r="E425" s="252"/>
      <c r="F425" s="252"/>
      <c r="G425" s="253"/>
    </row>
    <row r="426" spans="2:7" x14ac:dyDescent="0.25">
      <c r="B426" s="8"/>
      <c r="C426" s="8"/>
      <c r="D426" s="455"/>
      <c r="E426" s="252"/>
      <c r="F426" s="252"/>
      <c r="G426" s="253"/>
    </row>
    <row r="427" spans="2:7" x14ac:dyDescent="0.25">
      <c r="B427" s="8"/>
      <c r="C427" s="8"/>
      <c r="D427" s="455"/>
      <c r="E427" s="252"/>
      <c r="F427" s="252"/>
      <c r="G427" s="253"/>
    </row>
    <row r="428" spans="2:7" x14ac:dyDescent="0.25">
      <c r="B428" s="8"/>
      <c r="C428" s="8"/>
      <c r="D428" s="455"/>
      <c r="E428" s="252"/>
      <c r="F428" s="252"/>
      <c r="G428" s="253"/>
    </row>
    <row r="429" spans="2:7" x14ac:dyDescent="0.25">
      <c r="B429" s="8"/>
      <c r="C429" s="8"/>
      <c r="D429" s="455"/>
      <c r="E429" s="252"/>
      <c r="F429" s="252"/>
      <c r="G429" s="253"/>
    </row>
    <row r="430" spans="2:7" x14ac:dyDescent="0.25">
      <c r="B430" s="8"/>
      <c r="C430" s="8"/>
      <c r="D430" s="455"/>
      <c r="E430" s="252"/>
      <c r="F430" s="252"/>
      <c r="G430" s="253"/>
    </row>
    <row r="431" spans="2:7" x14ac:dyDescent="0.25">
      <c r="B431" s="8"/>
      <c r="C431" s="8"/>
      <c r="D431" s="455"/>
      <c r="E431" s="252"/>
      <c r="F431" s="252"/>
      <c r="G431" s="253"/>
    </row>
    <row r="432" spans="2:7" x14ac:dyDescent="0.25">
      <c r="B432" s="8"/>
      <c r="C432" s="8"/>
      <c r="D432" s="455"/>
      <c r="E432" s="252"/>
      <c r="F432" s="252"/>
      <c r="G432" s="253"/>
    </row>
    <row r="433" spans="2:7" x14ac:dyDescent="0.25">
      <c r="B433" s="8"/>
      <c r="C433" s="8"/>
      <c r="D433" s="455"/>
      <c r="E433" s="252"/>
      <c r="F433" s="252"/>
      <c r="G433" s="253"/>
    </row>
    <row r="434" spans="2:7" x14ac:dyDescent="0.25">
      <c r="B434" s="8"/>
      <c r="C434" s="8"/>
      <c r="D434" s="455"/>
      <c r="E434" s="252"/>
      <c r="F434" s="252"/>
      <c r="G434" s="253"/>
    </row>
    <row r="435" spans="2:7" x14ac:dyDescent="0.25">
      <c r="B435" s="8"/>
      <c r="C435" s="8"/>
      <c r="D435" s="455"/>
      <c r="E435" s="252"/>
      <c r="F435" s="252"/>
      <c r="G435" s="253"/>
    </row>
    <row r="436" spans="2:7" x14ac:dyDescent="0.25">
      <c r="B436" s="8"/>
      <c r="C436" s="8"/>
      <c r="D436" s="455"/>
      <c r="E436" s="252"/>
      <c r="F436" s="252"/>
      <c r="G436" s="253"/>
    </row>
    <row r="437" spans="2:7" x14ac:dyDescent="0.25">
      <c r="B437" s="8"/>
      <c r="C437" s="8"/>
      <c r="D437" s="455"/>
      <c r="E437" s="252"/>
      <c r="F437" s="252"/>
      <c r="G437" s="253"/>
    </row>
    <row r="438" spans="2:7" x14ac:dyDescent="0.25">
      <c r="B438" s="8"/>
      <c r="C438" s="8"/>
      <c r="D438" s="455"/>
      <c r="E438" s="252"/>
      <c r="F438" s="252"/>
      <c r="G438" s="253"/>
    </row>
    <row r="439" spans="2:7" x14ac:dyDescent="0.25">
      <c r="B439" s="8"/>
      <c r="C439" s="8"/>
      <c r="D439" s="455"/>
      <c r="E439" s="252"/>
      <c r="F439" s="252"/>
      <c r="G439" s="253"/>
    </row>
    <row r="440" spans="2:7" x14ac:dyDescent="0.25">
      <c r="B440" s="8"/>
      <c r="C440" s="8"/>
      <c r="D440" s="455"/>
      <c r="E440" s="252"/>
      <c r="F440" s="252"/>
      <c r="G440" s="253"/>
    </row>
    <row r="441" spans="2:7" x14ac:dyDescent="0.25">
      <c r="B441" s="8"/>
      <c r="C441" s="8"/>
      <c r="D441" s="455"/>
      <c r="E441" s="252"/>
      <c r="F441" s="252"/>
      <c r="G441" s="253"/>
    </row>
    <row r="442" spans="2:7" x14ac:dyDescent="0.25">
      <c r="B442" s="8"/>
      <c r="C442" s="8"/>
      <c r="D442" s="455"/>
      <c r="E442" s="252"/>
      <c r="F442" s="252"/>
      <c r="G442" s="253"/>
    </row>
    <row r="443" spans="2:7" x14ac:dyDescent="0.25">
      <c r="B443" s="8"/>
      <c r="C443" s="8"/>
      <c r="D443" s="455"/>
      <c r="E443" s="252"/>
      <c r="F443" s="252"/>
      <c r="G443" s="253"/>
    </row>
    <row r="444" spans="2:7" x14ac:dyDescent="0.25">
      <c r="B444" s="8"/>
      <c r="C444" s="8"/>
      <c r="D444" s="455"/>
      <c r="E444" s="252"/>
      <c r="F444" s="252"/>
      <c r="G444" s="253"/>
    </row>
    <row r="445" spans="2:7" x14ac:dyDescent="0.25">
      <c r="B445" s="8"/>
      <c r="C445" s="8"/>
      <c r="D445" s="455"/>
      <c r="E445" s="252"/>
      <c r="F445" s="252"/>
      <c r="G445" s="253"/>
    </row>
    <row r="446" spans="2:7" x14ac:dyDescent="0.25">
      <c r="B446" s="8"/>
      <c r="C446" s="8"/>
      <c r="D446" s="455"/>
      <c r="E446" s="252"/>
      <c r="F446" s="252"/>
      <c r="G446" s="253"/>
    </row>
    <row r="447" spans="2:7" x14ac:dyDescent="0.25">
      <c r="B447" s="8"/>
      <c r="C447" s="8"/>
      <c r="D447" s="455"/>
      <c r="E447" s="252"/>
      <c r="F447" s="252"/>
      <c r="G447" s="253"/>
    </row>
    <row r="448" spans="2:7" x14ac:dyDescent="0.25">
      <c r="B448" s="8"/>
      <c r="C448" s="8"/>
      <c r="D448" s="455"/>
      <c r="E448" s="252"/>
      <c r="F448" s="252"/>
      <c r="G448" s="253"/>
    </row>
    <row r="449" spans="2:7" x14ac:dyDescent="0.25">
      <c r="B449" s="8"/>
      <c r="C449" s="8"/>
      <c r="D449" s="455"/>
      <c r="E449" s="252"/>
      <c r="F449" s="252"/>
      <c r="G449" s="253"/>
    </row>
    <row r="450" spans="2:7" x14ac:dyDescent="0.25">
      <c r="B450" s="8"/>
      <c r="C450" s="8"/>
      <c r="D450" s="455"/>
      <c r="E450" s="252"/>
      <c r="F450" s="252"/>
      <c r="G450" s="253"/>
    </row>
    <row r="451" spans="2:7" x14ac:dyDescent="0.25">
      <c r="B451" s="8"/>
      <c r="C451" s="8"/>
      <c r="D451" s="455"/>
      <c r="E451" s="252"/>
      <c r="F451" s="252"/>
      <c r="G451" s="253"/>
    </row>
    <row r="452" spans="2:7" x14ac:dyDescent="0.25">
      <c r="B452" s="8"/>
      <c r="C452" s="8"/>
      <c r="D452" s="455"/>
      <c r="E452" s="252"/>
      <c r="F452" s="252"/>
      <c r="G452" s="253"/>
    </row>
    <row r="453" spans="2:7" x14ac:dyDescent="0.25">
      <c r="B453" s="8"/>
      <c r="C453" s="8"/>
      <c r="D453" s="455"/>
      <c r="E453" s="252"/>
      <c r="F453" s="252"/>
      <c r="G453" s="253"/>
    </row>
    <row r="454" spans="2:7" x14ac:dyDescent="0.25">
      <c r="B454" s="8"/>
      <c r="C454" s="8"/>
      <c r="D454" s="455"/>
      <c r="E454" s="252"/>
      <c r="F454" s="252"/>
      <c r="G454" s="253"/>
    </row>
    <row r="455" spans="2:7" x14ac:dyDescent="0.25">
      <c r="B455" s="8"/>
      <c r="C455" s="8"/>
      <c r="D455" s="455"/>
      <c r="E455" s="252"/>
      <c r="F455" s="252"/>
      <c r="G455" s="253"/>
    </row>
    <row r="456" spans="2:7" x14ac:dyDescent="0.25">
      <c r="B456" s="8"/>
      <c r="C456" s="8"/>
      <c r="D456" s="455"/>
      <c r="E456" s="252"/>
      <c r="F456" s="252"/>
      <c r="G456" s="253"/>
    </row>
    <row r="457" spans="2:7" x14ac:dyDescent="0.25">
      <c r="B457" s="8"/>
      <c r="C457" s="8"/>
      <c r="D457" s="455"/>
      <c r="E457" s="252"/>
      <c r="F457" s="252"/>
      <c r="G457" s="253"/>
    </row>
    <row r="458" spans="2:7" x14ac:dyDescent="0.25">
      <c r="B458" s="8"/>
      <c r="C458" s="8"/>
      <c r="D458" s="455"/>
      <c r="E458" s="252"/>
      <c r="F458" s="252"/>
      <c r="G458" s="253"/>
    </row>
    <row r="459" spans="2:7" x14ac:dyDescent="0.25">
      <c r="B459" s="8"/>
      <c r="C459" s="8"/>
      <c r="D459" s="455"/>
      <c r="E459" s="252"/>
      <c r="F459" s="252"/>
      <c r="G459" s="253"/>
    </row>
    <row r="460" spans="2:7" x14ac:dyDescent="0.25">
      <c r="B460" s="8"/>
      <c r="C460" s="8"/>
      <c r="D460" s="455"/>
      <c r="E460" s="252"/>
      <c r="F460" s="252"/>
      <c r="G460" s="253"/>
    </row>
    <row r="461" spans="2:7" x14ac:dyDescent="0.25">
      <c r="B461" s="8"/>
      <c r="C461" s="8"/>
      <c r="D461" s="455"/>
      <c r="E461" s="252"/>
      <c r="F461" s="252"/>
      <c r="G461" s="253"/>
    </row>
    <row r="462" spans="2:7" x14ac:dyDescent="0.25">
      <c r="B462" s="8"/>
      <c r="C462" s="8"/>
      <c r="D462" s="455"/>
      <c r="E462" s="252"/>
      <c r="F462" s="252"/>
      <c r="G462" s="253"/>
    </row>
    <row r="463" spans="2:7" x14ac:dyDescent="0.25">
      <c r="B463" s="8"/>
      <c r="C463" s="8"/>
      <c r="D463" s="455"/>
      <c r="E463" s="252"/>
      <c r="F463" s="252"/>
      <c r="G463" s="253"/>
    </row>
    <row r="464" spans="2:7" x14ac:dyDescent="0.25">
      <c r="B464" s="8"/>
      <c r="C464" s="8"/>
      <c r="D464" s="455"/>
      <c r="E464" s="252"/>
      <c r="F464" s="252"/>
      <c r="G464" s="253"/>
    </row>
    <row r="465" spans="2:7" x14ac:dyDescent="0.25">
      <c r="B465" s="8"/>
      <c r="C465" s="8"/>
      <c r="D465" s="455"/>
      <c r="E465" s="252"/>
      <c r="F465" s="252"/>
      <c r="G465" s="253"/>
    </row>
    <row r="466" spans="2:7" x14ac:dyDescent="0.25">
      <c r="B466" s="8"/>
      <c r="C466" s="8"/>
      <c r="D466" s="455"/>
      <c r="E466" s="252"/>
      <c r="F466" s="252"/>
      <c r="G466" s="253"/>
    </row>
    <row r="467" spans="2:7" x14ac:dyDescent="0.25">
      <c r="B467" s="8"/>
      <c r="C467" s="8"/>
      <c r="D467" s="455"/>
      <c r="E467" s="252"/>
      <c r="F467" s="252"/>
      <c r="G467" s="253"/>
    </row>
    <row r="468" spans="2:7" x14ac:dyDescent="0.25">
      <c r="B468" s="8"/>
      <c r="C468" s="8"/>
      <c r="D468" s="455"/>
      <c r="E468" s="252"/>
      <c r="F468" s="252"/>
      <c r="G468" s="253"/>
    </row>
    <row r="469" spans="2:7" x14ac:dyDescent="0.25">
      <c r="B469" s="8"/>
      <c r="C469" s="8"/>
      <c r="D469" s="455"/>
      <c r="E469" s="252"/>
      <c r="F469" s="252"/>
      <c r="G469" s="253"/>
    </row>
    <row r="470" spans="2:7" x14ac:dyDescent="0.25">
      <c r="B470" s="8"/>
      <c r="C470" s="8"/>
      <c r="D470" s="455"/>
      <c r="E470" s="252"/>
      <c r="F470" s="252"/>
      <c r="G470" s="253"/>
    </row>
    <row r="471" spans="2:7" x14ac:dyDescent="0.25">
      <c r="B471" s="8"/>
      <c r="C471" s="8"/>
      <c r="D471" s="455"/>
      <c r="E471" s="252"/>
      <c r="F471" s="252"/>
      <c r="G471" s="253"/>
    </row>
    <row r="472" spans="2:7" x14ac:dyDescent="0.25">
      <c r="B472" s="8"/>
      <c r="C472" s="8"/>
      <c r="D472" s="455"/>
      <c r="E472" s="252"/>
      <c r="F472" s="252"/>
      <c r="G472" s="253"/>
    </row>
    <row r="473" spans="2:7" x14ac:dyDescent="0.25">
      <c r="B473" s="8"/>
      <c r="C473" s="8"/>
      <c r="D473" s="455"/>
      <c r="E473" s="252"/>
      <c r="F473" s="252"/>
      <c r="G473" s="253"/>
    </row>
    <row r="474" spans="2:7" x14ac:dyDescent="0.25">
      <c r="B474" s="8"/>
      <c r="C474" s="8"/>
      <c r="D474" s="455"/>
      <c r="E474" s="252"/>
      <c r="F474" s="252"/>
      <c r="G474" s="253"/>
    </row>
    <row r="475" spans="2:7" x14ac:dyDescent="0.25">
      <c r="B475" s="8"/>
      <c r="C475" s="8"/>
      <c r="D475" s="455"/>
      <c r="E475" s="252"/>
      <c r="F475" s="252"/>
      <c r="G475" s="253"/>
    </row>
    <row r="476" spans="2:7" x14ac:dyDescent="0.25">
      <c r="B476" s="8"/>
      <c r="C476" s="8"/>
      <c r="D476" s="455"/>
      <c r="E476" s="252"/>
      <c r="F476" s="252"/>
      <c r="G476" s="253"/>
    </row>
    <row r="477" spans="2:7" x14ac:dyDescent="0.25">
      <c r="B477" s="8"/>
      <c r="C477" s="8"/>
      <c r="D477" s="455"/>
      <c r="E477" s="252"/>
      <c r="F477" s="252"/>
      <c r="G477" s="253"/>
    </row>
    <row r="478" spans="2:7" x14ac:dyDescent="0.25">
      <c r="B478" s="8"/>
      <c r="C478" s="8"/>
      <c r="D478" s="455"/>
      <c r="E478" s="252"/>
      <c r="F478" s="252"/>
      <c r="G478" s="253"/>
    </row>
    <row r="479" spans="2:7" x14ac:dyDescent="0.25">
      <c r="B479" s="8"/>
      <c r="C479" s="8"/>
      <c r="D479" s="455"/>
      <c r="E479" s="252"/>
      <c r="F479" s="252"/>
      <c r="G479" s="253"/>
    </row>
    <row r="480" spans="2:7" x14ac:dyDescent="0.25">
      <c r="B480" s="8"/>
      <c r="C480" s="8"/>
      <c r="D480" s="455"/>
      <c r="E480" s="252"/>
      <c r="F480" s="252"/>
      <c r="G480" s="253"/>
    </row>
    <row r="481" spans="2:7" x14ac:dyDescent="0.25">
      <c r="B481" s="8"/>
      <c r="C481" s="8"/>
      <c r="D481" s="455"/>
      <c r="E481" s="252"/>
      <c r="F481" s="252"/>
      <c r="G481" s="253"/>
    </row>
    <row r="482" spans="2:7" x14ac:dyDescent="0.25">
      <c r="B482" s="8"/>
      <c r="C482" s="8"/>
      <c r="D482" s="455"/>
      <c r="E482" s="252"/>
      <c r="F482" s="252"/>
      <c r="G482" s="253"/>
    </row>
    <row r="483" spans="2:7" x14ac:dyDescent="0.25">
      <c r="B483" s="8"/>
      <c r="C483" s="8"/>
      <c r="D483" s="455"/>
      <c r="E483" s="252"/>
      <c r="F483" s="252"/>
      <c r="G483" s="253"/>
    </row>
    <row r="484" spans="2:7" x14ac:dyDescent="0.25">
      <c r="B484" s="8"/>
      <c r="C484" s="8"/>
      <c r="D484" s="455"/>
      <c r="E484" s="252"/>
      <c r="F484" s="252"/>
      <c r="G484" s="253"/>
    </row>
    <row r="485" spans="2:7" x14ac:dyDescent="0.25">
      <c r="B485" s="8"/>
      <c r="C485" s="8"/>
      <c r="D485" s="455"/>
      <c r="E485" s="252"/>
      <c r="F485" s="252"/>
      <c r="G485" s="253"/>
    </row>
    <row r="486" spans="2:7" x14ac:dyDescent="0.25">
      <c r="B486" s="8"/>
      <c r="C486" s="8"/>
      <c r="D486" s="455"/>
      <c r="E486" s="252"/>
      <c r="F486" s="252"/>
      <c r="G486" s="253"/>
    </row>
    <row r="487" spans="2:7" x14ac:dyDescent="0.25">
      <c r="B487" s="8"/>
      <c r="C487" s="8"/>
      <c r="D487" s="455"/>
      <c r="E487" s="252"/>
      <c r="F487" s="252"/>
      <c r="G487" s="253"/>
    </row>
    <row r="488" spans="2:7" x14ac:dyDescent="0.25">
      <c r="B488" s="8"/>
      <c r="C488" s="8"/>
      <c r="D488" s="455"/>
      <c r="E488" s="252"/>
      <c r="F488" s="252"/>
      <c r="G488" s="253"/>
    </row>
    <row r="489" spans="2:7" x14ac:dyDescent="0.25">
      <c r="B489" s="8"/>
      <c r="C489" s="8"/>
      <c r="D489" s="455"/>
      <c r="E489" s="252"/>
      <c r="F489" s="252"/>
      <c r="G489" s="253"/>
    </row>
    <row r="490" spans="2:7" x14ac:dyDescent="0.25">
      <c r="B490" s="8"/>
      <c r="C490" s="8"/>
      <c r="D490" s="455"/>
      <c r="E490" s="252"/>
      <c r="F490" s="252"/>
      <c r="G490" s="253"/>
    </row>
    <row r="491" spans="2:7" x14ac:dyDescent="0.25">
      <c r="B491" s="8"/>
      <c r="C491" s="8"/>
      <c r="D491" s="455"/>
      <c r="E491" s="252"/>
      <c r="F491" s="252"/>
      <c r="G491" s="253"/>
    </row>
    <row r="492" spans="2:7" x14ac:dyDescent="0.25">
      <c r="B492" s="8"/>
      <c r="C492" s="8"/>
      <c r="D492" s="455"/>
      <c r="E492" s="252"/>
      <c r="F492" s="252"/>
      <c r="G492" s="253"/>
    </row>
    <row r="493" spans="2:7" x14ac:dyDescent="0.25">
      <c r="B493" s="8"/>
      <c r="C493" s="8"/>
      <c r="D493" s="455"/>
      <c r="E493" s="252"/>
      <c r="F493" s="252"/>
      <c r="G493" s="253"/>
    </row>
    <row r="494" spans="2:7" x14ac:dyDescent="0.25">
      <c r="B494" s="8"/>
      <c r="C494" s="8"/>
      <c r="D494" s="455"/>
      <c r="E494" s="252"/>
      <c r="F494" s="252"/>
      <c r="G494" s="253"/>
    </row>
    <row r="495" spans="2:7" x14ac:dyDescent="0.25">
      <c r="B495" s="8"/>
      <c r="C495" s="8"/>
      <c r="D495" s="455"/>
      <c r="E495" s="252"/>
      <c r="F495" s="252"/>
      <c r="G495" s="253"/>
    </row>
    <row r="496" spans="2:7" x14ac:dyDescent="0.25">
      <c r="B496" s="8"/>
      <c r="C496" s="8"/>
      <c r="D496" s="455"/>
      <c r="E496" s="252"/>
      <c r="F496" s="252"/>
      <c r="G496" s="253"/>
    </row>
    <row r="497" spans="2:7" x14ac:dyDescent="0.25">
      <c r="B497" s="8"/>
      <c r="C497" s="8"/>
      <c r="D497" s="455"/>
      <c r="E497" s="252"/>
      <c r="F497" s="252"/>
      <c r="G497" s="253"/>
    </row>
    <row r="498" spans="2:7" x14ac:dyDescent="0.25">
      <c r="B498" s="8"/>
      <c r="C498" s="8"/>
      <c r="D498" s="455"/>
      <c r="E498" s="252"/>
      <c r="F498" s="252"/>
      <c r="G498" s="253"/>
    </row>
    <row r="499" spans="2:7" x14ac:dyDescent="0.25">
      <c r="B499" s="8"/>
      <c r="C499" s="8"/>
      <c r="D499" s="455"/>
      <c r="E499" s="252"/>
      <c r="F499" s="252"/>
      <c r="G499" s="253"/>
    </row>
    <row r="500" spans="2:7" x14ac:dyDescent="0.25">
      <c r="B500" s="8"/>
      <c r="C500" s="8"/>
      <c r="D500" s="455"/>
      <c r="E500" s="252"/>
      <c r="F500" s="252"/>
      <c r="G500" s="253"/>
    </row>
    <row r="501" spans="2:7" x14ac:dyDescent="0.25">
      <c r="B501" s="8"/>
      <c r="C501" s="8"/>
      <c r="D501" s="455"/>
      <c r="E501" s="252"/>
      <c r="F501" s="252"/>
      <c r="G501" s="253"/>
    </row>
    <row r="502" spans="2:7" x14ac:dyDescent="0.25">
      <c r="B502" s="7" t="s">
        <v>33</v>
      </c>
      <c r="C502" s="7"/>
      <c r="D502" s="456">
        <f>SUBTOTAL(109,Fonctionnement[Montant])</f>
        <v>0</v>
      </c>
      <c r="E502" s="201"/>
      <c r="F502" s="201"/>
      <c r="G502" s="251"/>
    </row>
  </sheetData>
  <sheetProtection algorithmName="SHA-512" hashValue="OfdJDBaxNova/WaNzQuVMkCaglhoBg+h+/sVaRzP+kjdL3wb94tWYfCVggMcEITAByeYxIEZZJc6kiw2NsbKeg==" saltValue="kxqc3FwpzNSySXCOHz+4cA==" spinCount="100000" sheet="1" selectLockedCells="1" autoFilter="0"/>
  <pageMargins left="0.70866141732283472" right="0.70866141732283472" top="0.74803149606299213" bottom="0.74803149606299213" header="0.31496062992125984" footer="0.31496062992125984"/>
  <pageSetup paperSize="9" scale="40" fitToHeight="0" orientation="portrait" r:id="rId1"/>
  <headerFooter>
    <oddHeader>&amp;C&amp;A</oddHeader>
    <oddFooter>&amp;R&amp;P/&amp;N</oddFooter>
  </headerFooter>
  <drawing r:id="rId2"/>
  <tableParts count="1">
    <tablePart r:id="rId3"/>
  </tablePart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0000000}">
          <x14:formula1>
            <xm:f>'Variable et Dropdowns'!$G$2:$G$40</xm:f>
          </x14:formula1>
          <xm:sqref>E9:E501</xm:sqref>
        </x14:dataValidation>
        <x14:dataValidation type="list" allowBlank="1" showInputMessage="1" showErrorMessage="1" xr:uid="{00000000-0002-0000-0500-000001000000}">
          <x14:formula1>
            <xm:f>'Variable et Dropdowns'!$K$2:$K$7</xm:f>
          </x14:formula1>
          <xm:sqref>F9:F501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theme="8" tint="0.59999389629810485"/>
    <pageSetUpPr fitToPage="1"/>
  </sheetPr>
  <dimension ref="A1:AI511"/>
  <sheetViews>
    <sheetView topLeftCell="B1" zoomScale="85" zoomScaleNormal="85" workbookViewId="0">
      <selection activeCell="B7" sqref="B7"/>
    </sheetView>
  </sheetViews>
  <sheetFormatPr defaultColWidth="9.140625" defaultRowHeight="15" x14ac:dyDescent="0.25"/>
  <cols>
    <col min="1" max="1" width="5.7109375" style="73" customWidth="1"/>
    <col min="2" max="2" width="8" style="2" customWidth="1"/>
    <col min="3" max="3" width="28.28515625" style="2" customWidth="1"/>
    <col min="4" max="4" width="33.85546875" style="2" customWidth="1"/>
    <col min="5" max="5" width="14.140625" style="2" hidden="1" customWidth="1"/>
    <col min="6" max="6" width="120.28515625" style="2" bestFit="1" customWidth="1"/>
    <col min="7" max="7" width="12.28515625" style="2" bestFit="1" customWidth="1"/>
    <col min="8" max="8" width="11.140625" style="2" bestFit="1" customWidth="1"/>
    <col min="9" max="9" width="10.7109375" style="2" bestFit="1" customWidth="1"/>
    <col min="10" max="10" width="12.5703125" style="2" bestFit="1" customWidth="1"/>
    <col min="11" max="11" width="21" style="2" bestFit="1" customWidth="1"/>
    <col min="12" max="13" width="21" style="2" customWidth="1"/>
    <col min="14" max="14" width="24.85546875" style="2" bestFit="1" customWidth="1"/>
    <col min="15" max="15" width="22.42578125" style="2" bestFit="1" customWidth="1"/>
    <col min="16" max="16" width="22.42578125" style="2" hidden="1" customWidth="1"/>
    <col min="17" max="17" width="29.140625" style="2" bestFit="1" customWidth="1"/>
    <col min="18" max="18" width="14.42578125" style="2" bestFit="1" customWidth="1"/>
    <col min="19" max="19" width="16.85546875" style="2" bestFit="1" customWidth="1"/>
    <col min="20" max="20" width="18.140625" style="2" bestFit="1" customWidth="1"/>
    <col min="21" max="21" width="18.28515625" style="2" bestFit="1" customWidth="1"/>
    <col min="22" max="22" width="20.5703125" style="2" bestFit="1" customWidth="1"/>
    <col min="23" max="23" width="20.5703125" style="2" hidden="1" customWidth="1"/>
    <col min="24" max="24" width="20.5703125" style="2" bestFit="1" customWidth="1"/>
    <col min="25" max="25" width="15.85546875" style="2" bestFit="1" customWidth="1"/>
    <col min="26" max="26" width="23.7109375" style="2" bestFit="1" customWidth="1"/>
    <col min="27" max="27" width="17.140625" style="2" bestFit="1" customWidth="1"/>
    <col min="28" max="28" width="43" style="2" bestFit="1" customWidth="1"/>
    <col min="29" max="29" width="37.42578125" style="2" bestFit="1" customWidth="1"/>
    <col min="30" max="31" width="18.42578125" style="2" bestFit="1" customWidth="1"/>
    <col min="32" max="32" width="79.42578125" style="2" hidden="1" customWidth="1"/>
    <col min="33" max="33" width="17.85546875" style="2" bestFit="1" customWidth="1"/>
    <col min="34" max="34" width="21" style="2" bestFit="1" customWidth="1"/>
    <col min="35" max="35" width="9.140625" style="73"/>
    <col min="36" max="16384" width="9.140625" style="2"/>
  </cols>
  <sheetData>
    <row r="1" spans="1:35" x14ac:dyDescent="0.25">
      <c r="B1" s="11" t="str">
        <f>'Informations générales 1'!B7</f>
        <v>DECOMPTE ANNUEL</v>
      </c>
    </row>
    <row r="2" spans="1:35" x14ac:dyDescent="0.25">
      <c r="B2" s="11" t="str">
        <f>'Informations générales 1'!C20&amp;" - "&amp;'Informations générales 1'!C24</f>
        <v>Nom Gestionnaire - Nom SEA</v>
      </c>
    </row>
    <row r="3" spans="1:35" x14ac:dyDescent="0.25">
      <c r="B3" s="20">
        <f>'Informations générales 1'!C10</f>
        <v>2020</v>
      </c>
    </row>
    <row r="4" spans="1:35" x14ac:dyDescent="0.25">
      <c r="J4" s="71" t="s">
        <v>337</v>
      </c>
      <c r="K4" s="197">
        <f>SUM(CCTSAS[heures annuelles
selon contrat(s)])</f>
        <v>0</v>
      </c>
      <c r="L4" s="197"/>
      <c r="M4" s="197"/>
      <c r="N4" s="197">
        <f>SUM(CCTSAS[Heures annuelles RTT])</f>
        <v>0</v>
      </c>
      <c r="O4" s="197">
        <f>SUM(CCTSAS[Heures de maladie])</f>
        <v>0</v>
      </c>
      <c r="P4" s="197"/>
      <c r="Q4" s="197">
        <f>SUM(CCTSAS[Autres absences motivées])</f>
        <v>0</v>
      </c>
      <c r="R4" s="198">
        <f>SUM(CCTSAS[Brut])</f>
        <v>0</v>
      </c>
      <c r="S4" s="198">
        <f>SUM(CCTSAS[Primes convention financement])</f>
        <v>0</v>
      </c>
      <c r="T4" s="198">
        <f>SUM(CCTSAS[Autres primes])</f>
        <v>0</v>
      </c>
      <c r="U4" s="198">
        <f>SUM(CCTSAS[Part patronale])</f>
        <v>0</v>
      </c>
      <c r="V4" s="198">
        <f>SUM(CCTSAS[Remboursement
Mutualité])</f>
        <v>0</v>
      </c>
      <c r="W4" s="198"/>
      <c r="X4" s="198">
        <f>SUM(CCTSAS[Remboursement
Autres])</f>
        <v>0</v>
      </c>
      <c r="Y4" s="198">
        <f>SUM(CCTSAS[Total global])</f>
        <v>0</v>
      </c>
      <c r="Z4" s="198">
        <f>SUM(CCTSAS[Dont non opposable])</f>
        <v>0</v>
      </c>
      <c r="AA4" s="198">
        <f>SUM(CCTSAS[Total éligible])</f>
        <v>0</v>
      </c>
    </row>
    <row r="5" spans="1:35" x14ac:dyDescent="0.25">
      <c r="J5" s="71" t="s">
        <v>418</v>
      </c>
      <c r="K5" s="197">
        <f>CCTSAS[[#Totals],[heures annuelles
selon contrat(s)]]</f>
        <v>0</v>
      </c>
      <c r="L5" s="197"/>
      <c r="M5" s="197"/>
      <c r="N5" s="197">
        <f>CCTSAS[[#Totals],[Heures annuelles RTT]]</f>
        <v>0</v>
      </c>
      <c r="O5" s="197">
        <f>CCTSAS[[#Totals],[Heures de maladie]]</f>
        <v>0</v>
      </c>
      <c r="P5" s="197"/>
      <c r="Q5" s="197">
        <f>CCTSAS[[#Totals],[Autres absences motivées]]</f>
        <v>0</v>
      </c>
      <c r="R5" s="198">
        <f>CCTSAS[[#Totals],[Brut]]</f>
        <v>0</v>
      </c>
      <c r="S5" s="198">
        <f>CCTSAS[[#Totals],[Primes convention financement]]</f>
        <v>0</v>
      </c>
      <c r="T5" s="198">
        <f>CCTSAS[[#Totals],[Autres primes]]</f>
        <v>0</v>
      </c>
      <c r="U5" s="198">
        <f>CCTSAS[[#Totals],[Part patronale]]</f>
        <v>0</v>
      </c>
      <c r="V5" s="198">
        <f>CCTSAS[[#Totals],[Remboursement
Mutualité]]</f>
        <v>0</v>
      </c>
      <c r="W5" s="198"/>
      <c r="X5" s="198">
        <f>CCTSAS[[#Totals],[Remboursement
Autres]]</f>
        <v>0</v>
      </c>
      <c r="Y5" s="198">
        <f>CCTSAS[[#Totals],[Total global]]</f>
        <v>0</v>
      </c>
      <c r="Z5" s="198">
        <f>CCTSAS[[#Totals],[Dont non opposable]]</f>
        <v>0</v>
      </c>
      <c r="AA5" s="198">
        <f>CCTSAS[[#Totals],[Total éligible]]</f>
        <v>0</v>
      </c>
    </row>
    <row r="6" spans="1:35" s="37" customFormat="1" ht="105" x14ac:dyDescent="0.25">
      <c r="A6" s="94"/>
      <c r="B6" s="36" t="s">
        <v>21</v>
      </c>
      <c r="C6" s="36" t="s">
        <v>22</v>
      </c>
      <c r="D6" s="36" t="s">
        <v>128</v>
      </c>
      <c r="E6" s="36" t="s">
        <v>129</v>
      </c>
      <c r="F6" s="36" t="s">
        <v>130</v>
      </c>
      <c r="G6" s="36" t="s">
        <v>131</v>
      </c>
      <c r="H6" s="36" t="s">
        <v>132</v>
      </c>
      <c r="I6" s="36" t="s">
        <v>88</v>
      </c>
      <c r="J6" s="36" t="s">
        <v>89</v>
      </c>
      <c r="K6" s="6" t="s">
        <v>639</v>
      </c>
      <c r="L6" s="6" t="s">
        <v>659</v>
      </c>
      <c r="M6" s="6" t="s">
        <v>640</v>
      </c>
      <c r="N6" s="36" t="s">
        <v>133</v>
      </c>
      <c r="O6" s="36" t="s">
        <v>134</v>
      </c>
      <c r="P6" s="36" t="s">
        <v>598</v>
      </c>
      <c r="Q6" s="36" t="s">
        <v>135</v>
      </c>
      <c r="R6" s="36" t="s">
        <v>136</v>
      </c>
      <c r="S6" s="6" t="s">
        <v>416</v>
      </c>
      <c r="T6" s="36" t="s">
        <v>137</v>
      </c>
      <c r="U6" s="36" t="s">
        <v>138</v>
      </c>
      <c r="V6" s="6" t="s">
        <v>139</v>
      </c>
      <c r="W6" s="6" t="s">
        <v>599</v>
      </c>
      <c r="X6" s="6" t="s">
        <v>140</v>
      </c>
      <c r="Y6" s="36" t="s">
        <v>141</v>
      </c>
      <c r="Z6" s="36" t="s">
        <v>142</v>
      </c>
      <c r="AA6" s="36" t="s">
        <v>143</v>
      </c>
      <c r="AB6" s="36" t="s">
        <v>144</v>
      </c>
      <c r="AC6" s="36" t="s">
        <v>145</v>
      </c>
      <c r="AD6" s="6" t="s">
        <v>637</v>
      </c>
      <c r="AE6" s="6" t="s">
        <v>636</v>
      </c>
      <c r="AF6" s="6" t="s">
        <v>373</v>
      </c>
      <c r="AG6" s="36" t="s">
        <v>98</v>
      </c>
      <c r="AH6" s="36" t="s">
        <v>146</v>
      </c>
      <c r="AI6" s="94"/>
    </row>
    <row r="7" spans="1:35" x14ac:dyDescent="0.25">
      <c r="A7" s="73" t="str">
        <f>IF(CCTSAS[[#This Row],[Carrière]]="","",IF(ISNA(VLOOKUP(CCTSAS[[#This Row],[Carrière]],DROPDOWN[Dropdown9],1,FALSE))=TRUE,"Carrière: Utiliser la liste déroulante",""))</f>
        <v/>
      </c>
      <c r="B7" s="8"/>
      <c r="C7" s="8"/>
      <c r="D7" s="8"/>
      <c r="E7" s="21"/>
      <c r="F7" s="64"/>
      <c r="G7" s="8"/>
      <c r="H7" s="8"/>
      <c r="I7" s="10"/>
      <c r="J7" s="10"/>
      <c r="K7" s="9"/>
      <c r="L7" s="9"/>
      <c r="M7" s="9"/>
      <c r="N7"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7" s="9"/>
      <c r="P7" s="9"/>
      <c r="Q7" s="8"/>
      <c r="R7" s="38"/>
      <c r="S7" s="38"/>
      <c r="T7" s="38"/>
      <c r="U7" s="38"/>
      <c r="V7" s="38"/>
      <c r="W7" s="38"/>
      <c r="X7" s="38"/>
      <c r="Y7"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7" s="38"/>
      <c r="AA7" s="66"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7" s="8"/>
      <c r="AC7" s="202"/>
      <c r="AD7" s="502"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7" s="502"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7" s="502"/>
      <c r="AG7" s="43"/>
      <c r="AH7" s="189" t="str">
        <f>IF(COUNTA(CCTSAS[[#This Row],[N°]:[heures annuelles
selon contrat(s)]])=0,"",REVEX!$E$9)</f>
        <v/>
      </c>
      <c r="AI7" s="73" t="str">
        <f>IF(CCTSAS[[#This Row],[Allocation fonctions]]="","",IF(ISNA(VLOOKUP(CCTSAS[[#This Row],[Allocation fonctions]],DROPDOWN[Dropdown82],1,FALSE))=TRUE,"Veuillez utiliser les allocations parmis la liste déroulante.",""))</f>
        <v/>
      </c>
    </row>
    <row r="8" spans="1:35" x14ac:dyDescent="0.25">
      <c r="A8" s="73" t="str">
        <f>IF(CCTSAS[[#This Row],[Carrière]]="","",IF(ISNA(VLOOKUP(CCTSAS[[#This Row],[Carrière]],DROPDOWN[Dropdown9],1,FALSE))=TRUE,"Carrière: Utiliser la liste déroulante",""))</f>
        <v/>
      </c>
      <c r="B8" s="8"/>
      <c r="C8" s="8"/>
      <c r="D8" s="8"/>
      <c r="E8" s="21"/>
      <c r="F8" s="64"/>
      <c r="G8" s="8"/>
      <c r="H8" s="8"/>
      <c r="I8" s="10"/>
      <c r="J8" s="10"/>
      <c r="K8" s="9"/>
      <c r="L8" s="9"/>
      <c r="M8" s="9"/>
      <c r="N8"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8" s="9"/>
      <c r="P8" s="9"/>
      <c r="Q8" s="8"/>
      <c r="R8" s="38"/>
      <c r="S8" s="38"/>
      <c r="T8" s="38"/>
      <c r="U8" s="38"/>
      <c r="V8" s="38"/>
      <c r="W8" s="38"/>
      <c r="X8" s="38"/>
      <c r="Y8"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8" s="38"/>
      <c r="AA8"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8" s="8"/>
      <c r="AC8" s="203"/>
      <c r="AD8"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8"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8" s="503"/>
      <c r="AG8" s="44"/>
      <c r="AH8" s="189" t="str">
        <f>IF(COUNTA(CCTSAS[[#This Row],[N°]:[heures annuelles
selon contrat(s)]])=0,"",REVEX!$E$9)</f>
        <v/>
      </c>
      <c r="AI8" s="73" t="str">
        <f>IF(CCTSAS[[#This Row],[Allocation fonctions]]="","",IF(ISNA(VLOOKUP(CCTSAS[[#This Row],[Allocation fonctions]],'Variable et Dropdowns'!H3:H19,1,FALSE))=TRUE,"Veuillez utiliser les allocations parmis la liste déroulante.",""))</f>
        <v/>
      </c>
    </row>
    <row r="9" spans="1:35" x14ac:dyDescent="0.25">
      <c r="B9" s="8"/>
      <c r="C9" s="8"/>
      <c r="D9" s="8"/>
      <c r="E9" s="21"/>
      <c r="F9" s="64"/>
      <c r="G9" s="8"/>
      <c r="H9" s="8"/>
      <c r="I9" s="10"/>
      <c r="J9" s="10"/>
      <c r="K9" s="9"/>
      <c r="L9" s="9"/>
      <c r="M9" s="9"/>
      <c r="N9"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9" s="9"/>
      <c r="P9" s="9"/>
      <c r="Q9" s="8"/>
      <c r="R9" s="38"/>
      <c r="S9" s="38"/>
      <c r="T9" s="38"/>
      <c r="U9" s="38"/>
      <c r="V9" s="38"/>
      <c r="W9" s="38"/>
      <c r="X9" s="38"/>
      <c r="Y9"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9" s="38"/>
      <c r="AA9"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9" s="8"/>
      <c r="AC9" s="203"/>
      <c r="AD9"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9"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9" s="503"/>
      <c r="AG9" s="44"/>
      <c r="AH9" s="189" t="str">
        <f>IF(COUNTA(CCTSAS[[#This Row],[N°]:[heures annuelles
selon contrat(s)]])=0,"",REVEX!$E$9)</f>
        <v/>
      </c>
      <c r="AI9" s="73" t="str">
        <f>IF(CCTSAS[[#This Row],[Allocation fonctions]]="","",IF(ISNA(VLOOKUP(CCTSAS[[#This Row],[Allocation fonctions]],'Variable et Dropdowns'!H4:H20,1,FALSE))=TRUE,"Veuillez utiliser les allocations parmis la liste déroulante.",""))</f>
        <v/>
      </c>
    </row>
    <row r="10" spans="1:35" x14ac:dyDescent="0.25">
      <c r="A10" s="73" t="str">
        <f>IF(CCTSAS[[#This Row],[Carrière]]="","",IF(ISNA(VLOOKUP(CCTSAS[[#This Row],[Carrière]],DROPDOWN[Dropdown9],1,FALSE))=TRUE,"Carrière: Utiliser la liste déroulante",""))</f>
        <v/>
      </c>
      <c r="B10" s="8"/>
      <c r="C10" s="8"/>
      <c r="D10" s="8"/>
      <c r="E10" s="21"/>
      <c r="F10" s="64"/>
      <c r="G10" s="8"/>
      <c r="H10" s="8"/>
      <c r="I10" s="10"/>
      <c r="J10" s="10"/>
      <c r="K10" s="9"/>
      <c r="L10" s="9"/>
      <c r="M10" s="9"/>
      <c r="N10"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0" s="9"/>
      <c r="P10" s="9"/>
      <c r="Q10" s="8"/>
      <c r="R10" s="38"/>
      <c r="S10" s="38"/>
      <c r="T10" s="38"/>
      <c r="U10" s="38"/>
      <c r="V10" s="38"/>
      <c r="W10" s="38"/>
      <c r="X10" s="38"/>
      <c r="Y10"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0" s="38"/>
      <c r="AA10"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0" s="8"/>
      <c r="AC10" s="203"/>
      <c r="AD10"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0"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0" s="503"/>
      <c r="AG10" s="44"/>
      <c r="AH10" s="189" t="str">
        <f>IF(COUNTA(CCTSAS[[#This Row],[N°]:[heures annuelles
selon contrat(s)]])=0,"",REVEX!$E$9)</f>
        <v/>
      </c>
      <c r="AI10" s="73" t="str">
        <f>IF(CCTSAS[[#This Row],[Allocation fonctions]]="","",IF(ISNA(VLOOKUP(CCTSAS[[#This Row],[Allocation fonctions]],'Variable et Dropdowns'!H5:H21,1,FALSE))=TRUE,"Veuillez utiliser les allocations parmis la liste déroulante.",""))</f>
        <v/>
      </c>
    </row>
    <row r="11" spans="1:35" x14ac:dyDescent="0.25">
      <c r="A11" s="73" t="str">
        <f>IF(CCTSAS[[#This Row],[Carrière]]="","",IF(ISNA(VLOOKUP(CCTSAS[[#This Row],[Carrière]],DROPDOWN[Dropdown9],1,FALSE))=TRUE,"Carrière: Utiliser la liste déroulante",""))</f>
        <v/>
      </c>
      <c r="B11" s="8"/>
      <c r="C11" s="8"/>
      <c r="D11" s="8"/>
      <c r="E11" s="21"/>
      <c r="F11" s="64"/>
      <c r="G11" s="8"/>
      <c r="H11" s="8"/>
      <c r="I11" s="10"/>
      <c r="J11" s="10"/>
      <c r="K11" s="9"/>
      <c r="L11" s="9"/>
      <c r="M11" s="9"/>
      <c r="N11"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1" s="9"/>
      <c r="P11" s="9"/>
      <c r="Q11" s="8"/>
      <c r="R11" s="38"/>
      <c r="S11" s="38"/>
      <c r="T11" s="38"/>
      <c r="U11" s="38"/>
      <c r="V11" s="38"/>
      <c r="W11" s="38"/>
      <c r="X11" s="38"/>
      <c r="Y11"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1" s="38"/>
      <c r="AA11"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1" s="8"/>
      <c r="AC11" s="203"/>
      <c r="AD11"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1"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1" s="503"/>
      <c r="AG11" s="44"/>
      <c r="AH11" s="189" t="str">
        <f>IF(COUNTA(CCTSAS[[#This Row],[N°]:[heures annuelles
selon contrat(s)]])=0,"",REVEX!$E$9)</f>
        <v/>
      </c>
      <c r="AI11" s="73" t="str">
        <f>IF(CCTSAS[[#This Row],[Allocation fonctions]]="","",IF(ISNA(VLOOKUP(CCTSAS[[#This Row],[Allocation fonctions]],'Variable et Dropdowns'!H6:H22,1,FALSE))=TRUE,"Veuillez utiliser les allocations parmis la liste déroulante.",""))</f>
        <v/>
      </c>
    </row>
    <row r="12" spans="1:35" x14ac:dyDescent="0.25">
      <c r="A12" s="73" t="str">
        <f>IF(CCTSAS[[#This Row],[Carrière]]="","",IF(ISNA(VLOOKUP(CCTSAS[[#This Row],[Carrière]],DROPDOWN[Dropdown9],1,FALSE))=TRUE,"Carrière: Utiliser la liste déroulante",""))</f>
        <v/>
      </c>
      <c r="B12" s="8"/>
      <c r="C12" s="8"/>
      <c r="D12" s="8"/>
      <c r="E12" s="21"/>
      <c r="F12" s="64"/>
      <c r="G12" s="8"/>
      <c r="H12" s="8"/>
      <c r="I12" s="10"/>
      <c r="J12" s="10"/>
      <c r="K12" s="9"/>
      <c r="L12" s="9"/>
      <c r="M12" s="9"/>
      <c r="N12"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2" s="9"/>
      <c r="P12" s="9"/>
      <c r="Q12" s="8"/>
      <c r="R12" s="38"/>
      <c r="S12" s="38"/>
      <c r="T12" s="38"/>
      <c r="U12" s="38"/>
      <c r="V12" s="38"/>
      <c r="W12" s="38"/>
      <c r="X12" s="38"/>
      <c r="Y12"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2" s="38"/>
      <c r="AA12"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2" s="8"/>
      <c r="AC12" s="202"/>
      <c r="AD12"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2"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2" s="503"/>
      <c r="AG12" s="44"/>
      <c r="AH12" s="189" t="str">
        <f>IF(COUNTA(CCTSAS[[#This Row],[N°]:[heures annuelles
selon contrat(s)]])=0,"",REVEX!$E$9)</f>
        <v/>
      </c>
      <c r="AI12" s="73" t="str">
        <f>IF(CCTSAS[[#This Row],[Allocation fonctions]]="","",IF(ISNA(VLOOKUP(CCTSAS[[#This Row],[Allocation fonctions]],'Variable et Dropdowns'!H7:H23,1,FALSE))=TRUE,"Veuillez utiliser les allocations parmis la liste déroulante.",""))</f>
        <v/>
      </c>
    </row>
    <row r="13" spans="1:35" x14ac:dyDescent="0.25">
      <c r="A13" s="73" t="str">
        <f>IF(CCTSAS[[#This Row],[Carrière]]="","",IF(ISNA(VLOOKUP(CCTSAS[[#This Row],[Carrière]],DROPDOWN[Dropdown9],1,FALSE))=TRUE,"Carrière: Utiliser la liste déroulante",""))</f>
        <v/>
      </c>
      <c r="B13" s="8"/>
      <c r="C13" s="8"/>
      <c r="D13" s="8"/>
      <c r="E13" s="21"/>
      <c r="F13" s="64"/>
      <c r="G13" s="8"/>
      <c r="H13" s="8"/>
      <c r="I13" s="10"/>
      <c r="J13" s="10"/>
      <c r="K13" s="9"/>
      <c r="L13" s="9"/>
      <c r="M13" s="9"/>
      <c r="N13"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3" s="9"/>
      <c r="P13" s="9"/>
      <c r="Q13" s="8"/>
      <c r="R13" s="38"/>
      <c r="S13" s="38"/>
      <c r="T13" s="38"/>
      <c r="U13" s="38"/>
      <c r="V13" s="38"/>
      <c r="W13" s="38"/>
      <c r="X13" s="38"/>
      <c r="Y13"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3" s="38"/>
      <c r="AA13"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3" s="8"/>
      <c r="AC13" s="202"/>
      <c r="AD13"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3"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3" s="503"/>
      <c r="AG13" s="44"/>
      <c r="AH13" s="189" t="str">
        <f>IF(COUNTA(CCTSAS[[#This Row],[N°]:[heures annuelles
selon contrat(s)]])=0,"",REVEX!$E$9)</f>
        <v/>
      </c>
      <c r="AI13" s="73" t="str">
        <f>IF(CCTSAS[[#This Row],[Allocation fonctions]]="","",IF(ISNA(VLOOKUP(CCTSAS[[#This Row],[Allocation fonctions]],'Variable et Dropdowns'!H8:H24,1,FALSE))=TRUE,"Veuillez utiliser les allocations parmis la liste déroulante.",""))</f>
        <v/>
      </c>
    </row>
    <row r="14" spans="1:35" x14ac:dyDescent="0.25">
      <c r="A14" s="73" t="str">
        <f>IF(CCTSAS[[#This Row],[Carrière]]="","",IF(ISNA(VLOOKUP(CCTSAS[[#This Row],[Carrière]],DROPDOWN[Dropdown9],1,FALSE))=TRUE,"Carrière: Utiliser la liste déroulante",""))</f>
        <v/>
      </c>
      <c r="B14" s="8"/>
      <c r="C14" s="8"/>
      <c r="D14" s="8"/>
      <c r="E14" s="21"/>
      <c r="F14" s="64"/>
      <c r="G14" s="8"/>
      <c r="H14" s="8"/>
      <c r="I14" s="10"/>
      <c r="J14" s="10"/>
      <c r="K14" s="9"/>
      <c r="L14" s="9"/>
      <c r="M14" s="9"/>
      <c r="N14"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4" s="9"/>
      <c r="P14" s="9"/>
      <c r="Q14" s="8"/>
      <c r="R14" s="38"/>
      <c r="S14" s="38"/>
      <c r="T14" s="38"/>
      <c r="U14" s="38"/>
      <c r="V14" s="38"/>
      <c r="W14" s="38"/>
      <c r="X14" s="38"/>
      <c r="Y14"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4" s="38"/>
      <c r="AA14"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4" s="8"/>
      <c r="AC14" s="202"/>
      <c r="AD14"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4"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4" s="503"/>
      <c r="AG14" s="44"/>
      <c r="AH14" s="189" t="str">
        <f>IF(COUNTA(CCTSAS[[#This Row],[N°]:[heures annuelles
selon contrat(s)]])=0,"",REVEX!$E$9)</f>
        <v/>
      </c>
      <c r="AI14" s="73" t="str">
        <f>IF(CCTSAS[[#This Row],[Allocation fonctions]]="","",IF(ISNA(VLOOKUP(CCTSAS[[#This Row],[Allocation fonctions]],'Variable et Dropdowns'!H9:H25,1,FALSE))=TRUE,"Veuillez utiliser les allocations parmis la liste déroulante.",""))</f>
        <v/>
      </c>
    </row>
    <row r="15" spans="1:35" x14ac:dyDescent="0.25">
      <c r="A15" s="73" t="str">
        <f>IF(CCTSAS[[#This Row],[Carrière]]="","",IF(ISNA(VLOOKUP(CCTSAS[[#This Row],[Carrière]],DROPDOWN[Dropdown9],1,FALSE))=TRUE,"Carrière: Utiliser la liste déroulante",""))</f>
        <v/>
      </c>
      <c r="B15" s="8"/>
      <c r="C15" s="8"/>
      <c r="D15" s="8"/>
      <c r="E15" s="21"/>
      <c r="F15" s="64"/>
      <c r="G15" s="8"/>
      <c r="H15" s="8"/>
      <c r="I15" s="10"/>
      <c r="J15" s="10"/>
      <c r="K15" s="9"/>
      <c r="L15" s="9"/>
      <c r="M15" s="9"/>
      <c r="N15"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5" s="9"/>
      <c r="P15" s="9"/>
      <c r="Q15" s="8"/>
      <c r="R15" s="38"/>
      <c r="S15" s="38"/>
      <c r="T15" s="38"/>
      <c r="U15" s="38"/>
      <c r="V15" s="38"/>
      <c r="W15" s="38"/>
      <c r="X15" s="38"/>
      <c r="Y15"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5" s="38"/>
      <c r="AA15"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5" s="8"/>
      <c r="AC15" s="202"/>
      <c r="AD15"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5"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5" s="503"/>
      <c r="AG15" s="44"/>
      <c r="AH15" s="189" t="str">
        <f>IF(COUNTA(CCTSAS[[#This Row],[N°]:[heures annuelles
selon contrat(s)]])=0,"",REVEX!$E$9)</f>
        <v/>
      </c>
      <c r="AI15" s="73" t="str">
        <f>IF(CCTSAS[[#This Row],[Allocation fonctions]]="","",IF(ISNA(VLOOKUP(CCTSAS[[#This Row],[Allocation fonctions]],'Variable et Dropdowns'!H10:H26,1,FALSE))=TRUE,"Veuillez utiliser les allocations parmis la liste déroulante.",""))</f>
        <v/>
      </c>
    </row>
    <row r="16" spans="1:35" x14ac:dyDescent="0.25">
      <c r="A16" s="73" t="str">
        <f>IF(CCTSAS[[#This Row],[Carrière]]="","",IF(ISNA(VLOOKUP(CCTSAS[[#This Row],[Carrière]],DROPDOWN[Dropdown9],1,FALSE))=TRUE,"Carrière: Utiliser la liste déroulante",""))</f>
        <v/>
      </c>
      <c r="B16" s="8"/>
      <c r="C16" s="8"/>
      <c r="D16" s="8"/>
      <c r="E16" s="21"/>
      <c r="F16" s="64"/>
      <c r="G16" s="8"/>
      <c r="H16" s="8"/>
      <c r="I16" s="10"/>
      <c r="J16" s="10"/>
      <c r="K16" s="9"/>
      <c r="L16" s="9"/>
      <c r="M16" s="9"/>
      <c r="N16"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6" s="9"/>
      <c r="P16" s="9"/>
      <c r="Q16" s="8"/>
      <c r="R16" s="38"/>
      <c r="S16" s="38"/>
      <c r="T16" s="38"/>
      <c r="U16" s="38"/>
      <c r="V16" s="38"/>
      <c r="W16" s="38"/>
      <c r="X16" s="38"/>
      <c r="Y16"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6" s="38"/>
      <c r="AA16"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6" s="8"/>
      <c r="AC16" s="202"/>
      <c r="AD16"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6"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6" s="503"/>
      <c r="AG16" s="44"/>
      <c r="AH16" s="189" t="str">
        <f>IF(COUNTA(CCTSAS[[#This Row],[N°]:[heures annuelles
selon contrat(s)]])=0,"",REVEX!$E$9)</f>
        <v/>
      </c>
      <c r="AI16" s="73" t="str">
        <f>IF(CCTSAS[[#This Row],[Allocation fonctions]]="","",IF(ISNA(VLOOKUP(CCTSAS[[#This Row],[Allocation fonctions]],'Variable et Dropdowns'!H11:H27,1,FALSE))=TRUE,"Veuillez utiliser les allocations parmis la liste déroulante.",""))</f>
        <v/>
      </c>
    </row>
    <row r="17" spans="1:35" x14ac:dyDescent="0.25">
      <c r="A17" s="73" t="str">
        <f>IF(CCTSAS[[#This Row],[Carrière]]="","",IF(ISNA(VLOOKUP(CCTSAS[[#This Row],[Carrière]],DROPDOWN[Dropdown9],1,FALSE))=TRUE,"Carrière: Utiliser la liste déroulante",""))</f>
        <v/>
      </c>
      <c r="B17" s="8"/>
      <c r="C17" s="8"/>
      <c r="D17" s="8"/>
      <c r="E17" s="21"/>
      <c r="F17" s="64"/>
      <c r="G17" s="8"/>
      <c r="H17" s="8"/>
      <c r="I17" s="10"/>
      <c r="J17" s="10"/>
      <c r="K17" s="9"/>
      <c r="L17" s="9"/>
      <c r="M17" s="9"/>
      <c r="N17"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7" s="9"/>
      <c r="P17" s="9"/>
      <c r="Q17" s="8"/>
      <c r="R17" s="38"/>
      <c r="S17" s="38"/>
      <c r="T17" s="38"/>
      <c r="U17" s="38"/>
      <c r="V17" s="38"/>
      <c r="W17" s="38"/>
      <c r="X17" s="38"/>
      <c r="Y17"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7" s="38"/>
      <c r="AA17"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7" s="8"/>
      <c r="AC17" s="202"/>
      <c r="AD17"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7"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7" s="503"/>
      <c r="AG17" s="44"/>
      <c r="AH17" s="189" t="str">
        <f>IF(COUNTA(CCTSAS[[#This Row],[N°]:[heures annuelles
selon contrat(s)]])=0,"",REVEX!$E$9)</f>
        <v/>
      </c>
      <c r="AI17" s="73" t="str">
        <f>IF(CCTSAS[[#This Row],[Allocation fonctions]]="","",IF(ISNA(VLOOKUP(CCTSAS[[#This Row],[Allocation fonctions]],'Variable et Dropdowns'!H12:H28,1,FALSE))=TRUE,"Veuillez utiliser les allocations parmis la liste déroulante.",""))</f>
        <v/>
      </c>
    </row>
    <row r="18" spans="1:35" x14ac:dyDescent="0.25">
      <c r="A18" s="73" t="str">
        <f>IF(CCTSAS[[#This Row],[Carrière]]="","",IF(ISNA(VLOOKUP(CCTSAS[[#This Row],[Carrière]],DROPDOWN[Dropdown9],1,FALSE))=TRUE,"Carrière: Utiliser la liste déroulante",""))</f>
        <v/>
      </c>
      <c r="B18" s="8"/>
      <c r="C18" s="8"/>
      <c r="D18" s="8"/>
      <c r="E18" s="21"/>
      <c r="F18" s="64"/>
      <c r="G18" s="8"/>
      <c r="H18" s="8"/>
      <c r="I18" s="10"/>
      <c r="J18" s="10"/>
      <c r="K18" s="9"/>
      <c r="L18" s="9"/>
      <c r="M18" s="9"/>
      <c r="N18"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8" s="9"/>
      <c r="P18" s="9"/>
      <c r="Q18" s="8"/>
      <c r="R18" s="38"/>
      <c r="S18" s="38"/>
      <c r="T18" s="38"/>
      <c r="U18" s="38"/>
      <c r="V18" s="38"/>
      <c r="W18" s="38"/>
      <c r="X18" s="38"/>
      <c r="Y18"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8" s="38"/>
      <c r="AA18"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8" s="8"/>
      <c r="AC18" s="202"/>
      <c r="AD18"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8"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8" s="503"/>
      <c r="AG18" s="44"/>
      <c r="AH18" s="189" t="str">
        <f>IF(COUNTA(CCTSAS[[#This Row],[N°]:[heures annuelles
selon contrat(s)]])=0,"",REVEX!$E$9)</f>
        <v/>
      </c>
      <c r="AI18" s="73" t="str">
        <f>IF(CCTSAS[[#This Row],[Allocation fonctions]]="","",IF(ISNA(VLOOKUP(CCTSAS[[#This Row],[Allocation fonctions]],'Variable et Dropdowns'!H13:H29,1,FALSE))=TRUE,"Veuillez utiliser les allocations parmis la liste déroulante.",""))</f>
        <v/>
      </c>
    </row>
    <row r="19" spans="1:35" x14ac:dyDescent="0.25">
      <c r="A19" s="73" t="str">
        <f>IF(CCTSAS[[#This Row],[Carrière]]="","",IF(ISNA(VLOOKUP(CCTSAS[[#This Row],[Carrière]],DROPDOWN[Dropdown9],1,FALSE))=TRUE,"Carrière: Utiliser la liste déroulante",""))</f>
        <v/>
      </c>
      <c r="B19" s="8"/>
      <c r="C19" s="8"/>
      <c r="D19" s="8"/>
      <c r="E19" s="21"/>
      <c r="F19" s="64"/>
      <c r="G19" s="8"/>
      <c r="H19" s="8"/>
      <c r="I19" s="10"/>
      <c r="J19" s="10"/>
      <c r="K19" s="9"/>
      <c r="L19" s="9"/>
      <c r="M19" s="9"/>
      <c r="N19"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9" s="9"/>
      <c r="P19" s="9"/>
      <c r="Q19" s="8"/>
      <c r="R19" s="38"/>
      <c r="S19" s="38"/>
      <c r="T19" s="38"/>
      <c r="U19" s="38"/>
      <c r="V19" s="38"/>
      <c r="W19" s="38"/>
      <c r="X19" s="38"/>
      <c r="Y19"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9" s="38"/>
      <c r="AA19"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9" s="8"/>
      <c r="AC19" s="202"/>
      <c r="AD19"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9"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9" s="503"/>
      <c r="AG19" s="44"/>
      <c r="AH19" s="189" t="str">
        <f>IF(COUNTA(CCTSAS[[#This Row],[N°]:[heures annuelles
selon contrat(s)]])=0,"",REVEX!$E$9)</f>
        <v/>
      </c>
      <c r="AI19" s="73" t="str">
        <f>IF(CCTSAS[[#This Row],[Allocation fonctions]]="","",IF(ISNA(VLOOKUP(CCTSAS[[#This Row],[Allocation fonctions]],'Variable et Dropdowns'!H14:H30,1,FALSE))=TRUE,"Veuillez utiliser les allocations parmis la liste déroulante.",""))</f>
        <v/>
      </c>
    </row>
    <row r="20" spans="1:35" x14ac:dyDescent="0.25">
      <c r="A20" s="73" t="str">
        <f>IF(CCTSAS[[#This Row],[Carrière]]="","",IF(ISNA(VLOOKUP(CCTSAS[[#This Row],[Carrière]],DROPDOWN[Dropdown9],1,FALSE))=TRUE,"Carrière: Utiliser la liste déroulante",""))</f>
        <v/>
      </c>
      <c r="B20" s="8"/>
      <c r="C20" s="8"/>
      <c r="D20" s="8"/>
      <c r="E20" s="21"/>
      <c r="F20" s="64"/>
      <c r="G20" s="8"/>
      <c r="H20" s="8"/>
      <c r="I20" s="10"/>
      <c r="J20" s="10"/>
      <c r="K20" s="9"/>
      <c r="L20" s="9"/>
      <c r="M20" s="9"/>
      <c r="N20"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0" s="9"/>
      <c r="P20" s="9"/>
      <c r="Q20" s="8"/>
      <c r="R20" s="38"/>
      <c r="S20" s="38"/>
      <c r="T20" s="38"/>
      <c r="U20" s="38"/>
      <c r="V20" s="38"/>
      <c r="W20" s="38"/>
      <c r="X20" s="38"/>
      <c r="Y20"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0" s="38"/>
      <c r="AA20"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0" s="8"/>
      <c r="AC20" s="203"/>
      <c r="AD20"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0"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0" s="503"/>
      <c r="AG20" s="44"/>
      <c r="AH20" s="189" t="str">
        <f>IF(COUNTA(CCTSAS[[#This Row],[N°]:[heures annuelles
selon contrat(s)]])=0,"",REVEX!$E$9)</f>
        <v/>
      </c>
      <c r="AI20" s="73" t="str">
        <f>IF(CCTSAS[[#This Row],[Allocation fonctions]]="","",IF(ISNA(VLOOKUP(CCTSAS[[#This Row],[Allocation fonctions]],'Variable et Dropdowns'!H15:H31,1,FALSE))=TRUE,"Veuillez utiliser les allocations parmis la liste déroulante.",""))</f>
        <v/>
      </c>
    </row>
    <row r="21" spans="1:35" x14ac:dyDescent="0.25">
      <c r="A21" s="73" t="str">
        <f>IF(CCTSAS[[#This Row],[Carrière]]="","",IF(ISNA(VLOOKUP(CCTSAS[[#This Row],[Carrière]],DROPDOWN[Dropdown9],1,FALSE))=TRUE,"Carrière: Utiliser la liste déroulante",""))</f>
        <v/>
      </c>
      <c r="B21" s="8"/>
      <c r="C21" s="8"/>
      <c r="D21" s="8"/>
      <c r="E21" s="21"/>
      <c r="F21" s="64"/>
      <c r="G21" s="8"/>
      <c r="H21" s="8"/>
      <c r="I21" s="10"/>
      <c r="J21" s="10"/>
      <c r="K21" s="9"/>
      <c r="L21" s="9"/>
      <c r="M21" s="9"/>
      <c r="N21"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1" s="9"/>
      <c r="P21" s="9"/>
      <c r="Q21" s="8"/>
      <c r="R21" s="38"/>
      <c r="S21" s="38"/>
      <c r="T21" s="38"/>
      <c r="U21" s="38"/>
      <c r="V21" s="38"/>
      <c r="W21" s="38"/>
      <c r="X21" s="38"/>
      <c r="Y21"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1" s="38"/>
      <c r="AA21"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1" s="8"/>
      <c r="AC21" s="203"/>
      <c r="AD21"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1"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1" s="503"/>
      <c r="AG21" s="44"/>
      <c r="AH21" s="189" t="str">
        <f>IF(COUNTA(CCTSAS[[#This Row],[N°]:[heures annuelles
selon contrat(s)]])=0,"",REVEX!$E$9)</f>
        <v/>
      </c>
      <c r="AI21" s="73" t="str">
        <f>IF(CCTSAS[[#This Row],[Allocation fonctions]]="","",IF(ISNA(VLOOKUP(CCTSAS[[#This Row],[Allocation fonctions]],'Variable et Dropdowns'!H16:H32,1,FALSE))=TRUE,"Veuillez utiliser les allocations parmis la liste déroulante.",""))</f>
        <v/>
      </c>
    </row>
    <row r="22" spans="1:35" x14ac:dyDescent="0.25">
      <c r="A22" s="73" t="str">
        <f>IF(CCTSAS[[#This Row],[Carrière]]="","",IF(ISNA(VLOOKUP(CCTSAS[[#This Row],[Carrière]],DROPDOWN[Dropdown9],1,FALSE))=TRUE,"Carrière: Utiliser la liste déroulante",""))</f>
        <v/>
      </c>
      <c r="B22" s="8"/>
      <c r="C22" s="8"/>
      <c r="D22" s="8"/>
      <c r="E22" s="21"/>
      <c r="F22" s="64"/>
      <c r="G22" s="8"/>
      <c r="H22" s="8"/>
      <c r="I22" s="10"/>
      <c r="J22" s="10"/>
      <c r="K22" s="9"/>
      <c r="L22" s="9"/>
      <c r="M22" s="9"/>
      <c r="N22"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2" s="9"/>
      <c r="P22" s="9"/>
      <c r="Q22" s="8"/>
      <c r="R22" s="38"/>
      <c r="S22" s="38"/>
      <c r="T22" s="38"/>
      <c r="U22" s="38"/>
      <c r="V22" s="38"/>
      <c r="W22" s="38"/>
      <c r="X22" s="38"/>
      <c r="Y22"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2" s="38"/>
      <c r="AA22"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2" s="8"/>
      <c r="AC22" s="203"/>
      <c r="AD22"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2"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2" s="503"/>
      <c r="AG22" s="44"/>
      <c r="AH22" s="189" t="str">
        <f>IF(COUNTA(CCTSAS[[#This Row],[N°]:[heures annuelles
selon contrat(s)]])=0,"",REVEX!$E$9)</f>
        <v/>
      </c>
      <c r="AI22" s="73" t="str">
        <f>IF(CCTSAS[[#This Row],[Allocation fonctions]]="","",IF(ISNA(VLOOKUP(CCTSAS[[#This Row],[Allocation fonctions]],'Variable et Dropdowns'!H17:H33,1,FALSE))=TRUE,"Veuillez utiliser les allocations parmis la liste déroulante.",""))</f>
        <v/>
      </c>
    </row>
    <row r="23" spans="1:35" x14ac:dyDescent="0.25">
      <c r="A23" s="73" t="str">
        <f>IF(CCTSAS[[#This Row],[Carrière]]="","",IF(ISNA(VLOOKUP(CCTSAS[[#This Row],[Carrière]],DROPDOWN[Dropdown9],1,FALSE))=TRUE,"Carrière: Utiliser la liste déroulante",""))</f>
        <v/>
      </c>
      <c r="B23" s="8"/>
      <c r="C23" s="8"/>
      <c r="D23" s="8"/>
      <c r="E23" s="21"/>
      <c r="F23" s="64"/>
      <c r="G23" s="8"/>
      <c r="H23" s="8"/>
      <c r="I23" s="10"/>
      <c r="J23" s="10"/>
      <c r="K23" s="9"/>
      <c r="L23" s="9"/>
      <c r="M23" s="9"/>
      <c r="N23"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3" s="9"/>
      <c r="P23" s="9"/>
      <c r="Q23" s="8"/>
      <c r="R23" s="38"/>
      <c r="S23" s="38"/>
      <c r="T23" s="38"/>
      <c r="U23" s="38"/>
      <c r="V23" s="38"/>
      <c r="W23" s="38"/>
      <c r="X23" s="38"/>
      <c r="Y23"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3" s="38"/>
      <c r="AA23"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3" s="8"/>
      <c r="AC23" s="203"/>
      <c r="AD23"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3"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3" s="503"/>
      <c r="AG23" s="44"/>
      <c r="AH23" s="189" t="str">
        <f>IF(COUNTA(CCTSAS[[#This Row],[N°]:[heures annuelles
selon contrat(s)]])=0,"",REVEX!$E$9)</f>
        <v/>
      </c>
      <c r="AI23" s="73" t="str">
        <f>IF(CCTSAS[[#This Row],[Allocation fonctions]]="","",IF(ISNA(VLOOKUP(CCTSAS[[#This Row],[Allocation fonctions]],'Variable et Dropdowns'!H18:H34,1,FALSE))=TRUE,"Veuillez utiliser les allocations parmis la liste déroulante.",""))</f>
        <v/>
      </c>
    </row>
    <row r="24" spans="1:35" x14ac:dyDescent="0.25">
      <c r="A24" s="73" t="str">
        <f>IF(CCTSAS[[#This Row],[Carrière]]="","",IF(ISNA(VLOOKUP(CCTSAS[[#This Row],[Carrière]],DROPDOWN[Dropdown9],1,FALSE))=TRUE,"Carrière: Utiliser la liste déroulante",""))</f>
        <v/>
      </c>
      <c r="B24" s="8"/>
      <c r="C24" s="8"/>
      <c r="D24" s="8"/>
      <c r="E24" s="21"/>
      <c r="F24" s="64"/>
      <c r="G24" s="8"/>
      <c r="H24" s="8"/>
      <c r="I24" s="10"/>
      <c r="J24" s="10"/>
      <c r="K24" s="9"/>
      <c r="L24" s="9"/>
      <c r="M24" s="9"/>
      <c r="N24"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4" s="9"/>
      <c r="P24" s="9"/>
      <c r="Q24" s="8"/>
      <c r="R24" s="38"/>
      <c r="S24" s="38"/>
      <c r="T24" s="38"/>
      <c r="U24" s="38"/>
      <c r="V24" s="38"/>
      <c r="W24" s="38"/>
      <c r="X24" s="38"/>
      <c r="Y24"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4" s="38"/>
      <c r="AA24"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4" s="8"/>
      <c r="AC24" s="203"/>
      <c r="AD24"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4"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4" s="503"/>
      <c r="AG24" s="44"/>
      <c r="AH24" s="189" t="str">
        <f>IF(COUNTA(CCTSAS[[#This Row],[N°]:[heures annuelles
selon contrat(s)]])=0,"",REVEX!$E$9)</f>
        <v/>
      </c>
      <c r="AI24" s="73" t="str">
        <f>IF(CCTSAS[[#This Row],[Allocation fonctions]]="","",IF(ISNA(VLOOKUP(CCTSAS[[#This Row],[Allocation fonctions]],'Variable et Dropdowns'!H19:H35,1,FALSE))=TRUE,"Veuillez utiliser les allocations parmis la liste déroulante.",""))</f>
        <v/>
      </c>
    </row>
    <row r="25" spans="1:35" x14ac:dyDescent="0.25">
      <c r="A25" s="73" t="str">
        <f>IF(CCTSAS[[#This Row],[Carrière]]="","",IF(ISNA(VLOOKUP(CCTSAS[[#This Row],[Carrière]],DROPDOWN[Dropdown9],1,FALSE))=TRUE,"Carrière: Utiliser la liste déroulante",""))</f>
        <v/>
      </c>
      <c r="B25" s="8"/>
      <c r="C25" s="8"/>
      <c r="D25" s="8"/>
      <c r="E25" s="21"/>
      <c r="F25" s="64"/>
      <c r="G25" s="8"/>
      <c r="H25" s="8"/>
      <c r="I25" s="10"/>
      <c r="J25" s="10"/>
      <c r="K25" s="9"/>
      <c r="L25" s="9"/>
      <c r="M25" s="9"/>
      <c r="N25"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5" s="9"/>
      <c r="P25" s="9"/>
      <c r="Q25" s="8"/>
      <c r="R25" s="38"/>
      <c r="S25" s="38"/>
      <c r="T25" s="38"/>
      <c r="U25" s="38"/>
      <c r="V25" s="38"/>
      <c r="W25" s="38"/>
      <c r="X25" s="38"/>
      <c r="Y25"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5" s="38"/>
      <c r="AA25"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5" s="8"/>
      <c r="AC25" s="203"/>
      <c r="AD25"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5"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5" s="503"/>
      <c r="AG25" s="44"/>
      <c r="AH25" s="189" t="str">
        <f>IF(COUNTA(CCTSAS[[#This Row],[N°]:[heures annuelles
selon contrat(s)]])=0,"",REVEX!$E$9)</f>
        <v/>
      </c>
      <c r="AI25" s="73" t="str">
        <f>IF(CCTSAS[[#This Row],[Allocation fonctions]]="","",IF(ISNA(VLOOKUP(CCTSAS[[#This Row],[Allocation fonctions]],'Variable et Dropdowns'!H20:H36,1,FALSE))=TRUE,"Veuillez utiliser les allocations parmis la liste déroulante.",""))</f>
        <v/>
      </c>
    </row>
    <row r="26" spans="1:35" x14ac:dyDescent="0.25">
      <c r="A26" s="73" t="str">
        <f>IF(CCTSAS[[#This Row],[Carrière]]="","",IF(ISNA(VLOOKUP(CCTSAS[[#This Row],[Carrière]],DROPDOWN[Dropdown9],1,FALSE))=TRUE,"Carrière: Utiliser la liste déroulante",""))</f>
        <v/>
      </c>
      <c r="B26" s="8"/>
      <c r="C26" s="8"/>
      <c r="D26" s="8"/>
      <c r="E26" s="21"/>
      <c r="F26" s="64"/>
      <c r="G26" s="8"/>
      <c r="H26" s="8"/>
      <c r="I26" s="10"/>
      <c r="J26" s="10"/>
      <c r="K26" s="9"/>
      <c r="L26" s="9"/>
      <c r="M26" s="9"/>
      <c r="N26"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6" s="9"/>
      <c r="P26" s="9"/>
      <c r="Q26" s="8"/>
      <c r="R26" s="38"/>
      <c r="S26" s="38"/>
      <c r="T26" s="38"/>
      <c r="U26" s="38"/>
      <c r="V26" s="38"/>
      <c r="W26" s="38"/>
      <c r="X26" s="38"/>
      <c r="Y26"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6" s="38"/>
      <c r="AA26"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6" s="8"/>
      <c r="AC26" s="203"/>
      <c r="AD26"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6"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6" s="503"/>
      <c r="AG26" s="44"/>
      <c r="AH26" s="189" t="str">
        <f>IF(COUNTA(CCTSAS[[#This Row],[N°]:[heures annuelles
selon contrat(s)]])=0,"",REVEX!$E$9)</f>
        <v/>
      </c>
      <c r="AI26" s="73" t="str">
        <f>IF(CCTSAS[[#This Row],[Allocation fonctions]]="","",IF(ISNA(VLOOKUP(CCTSAS[[#This Row],[Allocation fonctions]],'Variable et Dropdowns'!H21:H37,1,FALSE))=TRUE,"Veuillez utiliser les allocations parmis la liste déroulante.",""))</f>
        <v/>
      </c>
    </row>
    <row r="27" spans="1:35" x14ac:dyDescent="0.25">
      <c r="A27" s="73" t="str">
        <f>IF(CCTSAS[[#This Row],[Carrière]]="","",IF(ISNA(VLOOKUP(CCTSAS[[#This Row],[Carrière]],DROPDOWN[Dropdown9],1,FALSE))=TRUE,"Carrière: Utiliser la liste déroulante",""))</f>
        <v/>
      </c>
      <c r="B27" s="8"/>
      <c r="C27" s="8"/>
      <c r="D27" s="8"/>
      <c r="E27" s="21"/>
      <c r="F27" s="64"/>
      <c r="G27" s="8"/>
      <c r="H27" s="8"/>
      <c r="I27" s="10"/>
      <c r="J27" s="10"/>
      <c r="K27" s="9"/>
      <c r="L27" s="9"/>
      <c r="M27" s="9"/>
      <c r="N27"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7" s="9"/>
      <c r="P27" s="9"/>
      <c r="Q27" s="8"/>
      <c r="R27" s="38"/>
      <c r="S27" s="38"/>
      <c r="T27" s="38"/>
      <c r="U27" s="38"/>
      <c r="V27" s="38"/>
      <c r="W27" s="38"/>
      <c r="X27" s="38"/>
      <c r="Y27"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7" s="38"/>
      <c r="AA27"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7" s="8"/>
      <c r="AC27" s="203"/>
      <c r="AD27"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7"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7" s="503"/>
      <c r="AG27" s="44"/>
      <c r="AH27" s="189" t="str">
        <f>IF(COUNTA(CCTSAS[[#This Row],[N°]:[heures annuelles
selon contrat(s)]])=0,"",REVEX!$E$9)</f>
        <v/>
      </c>
      <c r="AI27" s="73" t="str">
        <f>IF(CCTSAS[[#This Row],[Allocation fonctions]]="","",IF(ISNA(VLOOKUP(CCTSAS[[#This Row],[Allocation fonctions]],'Variable et Dropdowns'!H22:H38,1,FALSE))=TRUE,"Veuillez utiliser les allocations parmis la liste déroulante.",""))</f>
        <v/>
      </c>
    </row>
    <row r="28" spans="1:35" x14ac:dyDescent="0.25">
      <c r="A28" s="73" t="str">
        <f>IF(CCTSAS[[#This Row],[Carrière]]="","",IF(ISNA(VLOOKUP(CCTSAS[[#This Row],[Carrière]],DROPDOWN[Dropdown9],1,FALSE))=TRUE,"Carrière: Utiliser la liste déroulante",""))</f>
        <v/>
      </c>
      <c r="B28" s="8"/>
      <c r="C28" s="8"/>
      <c r="D28" s="8"/>
      <c r="E28" s="21"/>
      <c r="F28" s="64"/>
      <c r="G28" s="8"/>
      <c r="H28" s="8"/>
      <c r="I28" s="10"/>
      <c r="J28" s="10"/>
      <c r="K28" s="9"/>
      <c r="L28" s="9"/>
      <c r="M28" s="9"/>
      <c r="N28"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8" s="9"/>
      <c r="P28" s="9"/>
      <c r="Q28" s="8"/>
      <c r="R28" s="38"/>
      <c r="S28" s="38"/>
      <c r="T28" s="38"/>
      <c r="U28" s="38"/>
      <c r="V28" s="38"/>
      <c r="W28" s="38"/>
      <c r="X28" s="38"/>
      <c r="Y28"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8" s="38"/>
      <c r="AA28"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8" s="8"/>
      <c r="AC28" s="203"/>
      <c r="AD28"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8"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8" s="503"/>
      <c r="AG28" s="44"/>
      <c r="AH28" s="189" t="str">
        <f>IF(COUNTA(CCTSAS[[#This Row],[N°]:[heures annuelles
selon contrat(s)]])=0,"",REVEX!$E$9)</f>
        <v/>
      </c>
      <c r="AI28" s="73" t="str">
        <f>IF(CCTSAS[[#This Row],[Allocation fonctions]]="","",IF(ISNA(VLOOKUP(CCTSAS[[#This Row],[Allocation fonctions]],'Variable et Dropdowns'!H23:H39,1,FALSE))=TRUE,"Veuillez utiliser les allocations parmis la liste déroulante.",""))</f>
        <v/>
      </c>
    </row>
    <row r="29" spans="1:35" x14ac:dyDescent="0.25">
      <c r="A29" s="73" t="str">
        <f>IF(CCTSAS[[#This Row],[Carrière]]="","",IF(ISNA(VLOOKUP(CCTSAS[[#This Row],[Carrière]],DROPDOWN[Dropdown9],1,FALSE))=TRUE,"Carrière: Utiliser la liste déroulante",""))</f>
        <v/>
      </c>
      <c r="B29" s="8"/>
      <c r="C29" s="8"/>
      <c r="D29" s="8"/>
      <c r="E29" s="21"/>
      <c r="F29" s="64"/>
      <c r="G29" s="8"/>
      <c r="H29" s="8"/>
      <c r="I29" s="10"/>
      <c r="J29" s="10"/>
      <c r="K29" s="9"/>
      <c r="L29" s="9"/>
      <c r="M29" s="9"/>
      <c r="N29"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9" s="9"/>
      <c r="P29" s="9"/>
      <c r="Q29" s="8"/>
      <c r="R29" s="38"/>
      <c r="S29" s="38"/>
      <c r="T29" s="38"/>
      <c r="U29" s="38"/>
      <c r="V29" s="38"/>
      <c r="W29" s="38"/>
      <c r="X29" s="38"/>
      <c r="Y29"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9" s="38"/>
      <c r="AA29"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9" s="8"/>
      <c r="AC29" s="203"/>
      <c r="AD29"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9"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9" s="503"/>
      <c r="AG29" s="44"/>
      <c r="AH29" s="189" t="str">
        <f>IF(COUNTA(CCTSAS[[#This Row],[N°]:[heures annuelles
selon contrat(s)]])=0,"",REVEX!$E$9)</f>
        <v/>
      </c>
      <c r="AI29" s="73" t="str">
        <f>IF(CCTSAS[[#This Row],[Allocation fonctions]]="","",IF(ISNA(VLOOKUP(CCTSAS[[#This Row],[Allocation fonctions]],'Variable et Dropdowns'!H24:H40,1,FALSE))=TRUE,"Veuillez utiliser les allocations parmis la liste déroulante.",""))</f>
        <v/>
      </c>
    </row>
    <row r="30" spans="1:35" x14ac:dyDescent="0.25">
      <c r="A30" s="73" t="str">
        <f>IF(CCTSAS[[#This Row],[Carrière]]="","",IF(ISNA(VLOOKUP(CCTSAS[[#This Row],[Carrière]],DROPDOWN[Dropdown9],1,FALSE))=TRUE,"Carrière: Utiliser la liste déroulante",""))</f>
        <v/>
      </c>
      <c r="B30" s="8"/>
      <c r="C30" s="8"/>
      <c r="D30" s="8"/>
      <c r="E30" s="21"/>
      <c r="F30" s="64"/>
      <c r="G30" s="8"/>
      <c r="H30" s="8"/>
      <c r="I30" s="10"/>
      <c r="J30" s="10"/>
      <c r="K30" s="9"/>
      <c r="L30" s="9"/>
      <c r="M30" s="9"/>
      <c r="N30"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0" s="9"/>
      <c r="P30" s="9"/>
      <c r="Q30" s="8"/>
      <c r="R30" s="38"/>
      <c r="S30" s="38"/>
      <c r="T30" s="38"/>
      <c r="U30" s="38"/>
      <c r="V30" s="38"/>
      <c r="W30" s="38"/>
      <c r="X30" s="38"/>
      <c r="Y30"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0" s="38"/>
      <c r="AA30"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0" s="8"/>
      <c r="AC30" s="203"/>
      <c r="AD30"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0"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0" s="503"/>
      <c r="AG30" s="44"/>
      <c r="AH30" s="189" t="str">
        <f>IF(COUNTA(CCTSAS[[#This Row],[N°]:[heures annuelles
selon contrat(s)]])=0,"",REVEX!$E$9)</f>
        <v/>
      </c>
      <c r="AI30" s="73" t="str">
        <f>IF(CCTSAS[[#This Row],[Allocation fonctions]]="","",IF(ISNA(VLOOKUP(CCTSAS[[#This Row],[Allocation fonctions]],'Variable et Dropdowns'!H25:H41,1,FALSE))=TRUE,"Veuillez utiliser les allocations parmis la liste déroulante.",""))</f>
        <v/>
      </c>
    </row>
    <row r="31" spans="1:35" x14ac:dyDescent="0.25">
      <c r="A31" s="73" t="str">
        <f>IF(CCTSAS[[#This Row],[Carrière]]="","",IF(ISNA(VLOOKUP(CCTSAS[[#This Row],[Carrière]],DROPDOWN[Dropdown9],1,FALSE))=TRUE,"Carrière: Utiliser la liste déroulante",""))</f>
        <v/>
      </c>
      <c r="B31" s="8"/>
      <c r="C31" s="8"/>
      <c r="D31" s="8"/>
      <c r="E31" s="21"/>
      <c r="F31" s="64"/>
      <c r="G31" s="8"/>
      <c r="H31" s="8"/>
      <c r="I31" s="10"/>
      <c r="J31" s="10"/>
      <c r="K31" s="9"/>
      <c r="L31" s="9"/>
      <c r="M31" s="9"/>
      <c r="N31"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1" s="9"/>
      <c r="P31" s="9"/>
      <c r="Q31" s="8"/>
      <c r="R31" s="38"/>
      <c r="S31" s="38"/>
      <c r="T31" s="38"/>
      <c r="U31" s="38"/>
      <c r="V31" s="38"/>
      <c r="W31" s="38"/>
      <c r="X31" s="38"/>
      <c r="Y31"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1" s="38"/>
      <c r="AA31"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1" s="8"/>
      <c r="AC31" s="203"/>
      <c r="AD31"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1"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1" s="503"/>
      <c r="AG31" s="44"/>
      <c r="AH31" s="189" t="str">
        <f>IF(COUNTA(CCTSAS[[#This Row],[N°]:[heures annuelles
selon contrat(s)]])=0,"",REVEX!$E$9)</f>
        <v/>
      </c>
      <c r="AI31" s="73" t="str">
        <f>IF(CCTSAS[[#This Row],[Allocation fonctions]]="","",IF(ISNA(VLOOKUP(CCTSAS[[#This Row],[Allocation fonctions]],'Variable et Dropdowns'!H26:H42,1,FALSE))=TRUE,"Veuillez utiliser les allocations parmis la liste déroulante.",""))</f>
        <v/>
      </c>
    </row>
    <row r="32" spans="1:35" x14ac:dyDescent="0.25">
      <c r="A32" s="73" t="str">
        <f>IF(CCTSAS[[#This Row],[Carrière]]="","",IF(ISNA(VLOOKUP(CCTSAS[[#This Row],[Carrière]],DROPDOWN[Dropdown9],1,FALSE))=TRUE,"Carrière: Utiliser la liste déroulante",""))</f>
        <v/>
      </c>
      <c r="B32" s="8"/>
      <c r="C32" s="8"/>
      <c r="D32" s="8"/>
      <c r="E32" s="21"/>
      <c r="F32" s="64"/>
      <c r="G32" s="8"/>
      <c r="H32" s="8"/>
      <c r="I32" s="10"/>
      <c r="J32" s="10"/>
      <c r="K32" s="9"/>
      <c r="L32" s="9"/>
      <c r="M32" s="9"/>
      <c r="N32"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2" s="9"/>
      <c r="P32" s="9"/>
      <c r="Q32" s="8"/>
      <c r="R32" s="38"/>
      <c r="S32" s="38"/>
      <c r="T32" s="38"/>
      <c r="U32" s="38"/>
      <c r="V32" s="38"/>
      <c r="W32" s="38"/>
      <c r="X32" s="38"/>
      <c r="Y32"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2" s="38"/>
      <c r="AA32"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2" s="8"/>
      <c r="AC32" s="203"/>
      <c r="AD32"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2"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2" s="503"/>
      <c r="AG32" s="44"/>
      <c r="AH32" s="189" t="str">
        <f>IF(COUNTA(CCTSAS[[#This Row],[N°]:[heures annuelles
selon contrat(s)]])=0,"",REVEX!$E$9)</f>
        <v/>
      </c>
      <c r="AI32" s="73" t="str">
        <f>IF(CCTSAS[[#This Row],[Allocation fonctions]]="","",IF(ISNA(VLOOKUP(CCTSAS[[#This Row],[Allocation fonctions]],'Variable et Dropdowns'!H27:H43,1,FALSE))=TRUE,"Veuillez utiliser les allocations parmis la liste déroulante.",""))</f>
        <v/>
      </c>
    </row>
    <row r="33" spans="1:35" x14ac:dyDescent="0.25">
      <c r="A33" s="73" t="str">
        <f>IF(CCTSAS[[#This Row],[Carrière]]="","",IF(ISNA(VLOOKUP(CCTSAS[[#This Row],[Carrière]],DROPDOWN[Dropdown9],1,FALSE))=TRUE,"Carrière: Utiliser la liste déroulante",""))</f>
        <v/>
      </c>
      <c r="B33" s="8"/>
      <c r="C33" s="8"/>
      <c r="D33" s="8"/>
      <c r="E33" s="21"/>
      <c r="F33" s="64"/>
      <c r="G33" s="8"/>
      <c r="H33" s="8"/>
      <c r="I33" s="10"/>
      <c r="J33" s="10"/>
      <c r="K33" s="9"/>
      <c r="L33" s="9"/>
      <c r="M33" s="9"/>
      <c r="N33"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3" s="9"/>
      <c r="P33" s="9"/>
      <c r="Q33" s="8"/>
      <c r="R33" s="38"/>
      <c r="S33" s="38"/>
      <c r="T33" s="38"/>
      <c r="U33" s="38"/>
      <c r="V33" s="38"/>
      <c r="W33" s="38"/>
      <c r="X33" s="38"/>
      <c r="Y33"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3" s="38"/>
      <c r="AA33"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3" s="8"/>
      <c r="AC33" s="202"/>
      <c r="AD33"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3"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3" s="503"/>
      <c r="AG33" s="44"/>
      <c r="AH33" s="189" t="str">
        <f>IF(COUNTA(CCTSAS[[#This Row],[N°]:[heures annuelles
selon contrat(s)]])=0,"",REVEX!$E$9)</f>
        <v/>
      </c>
      <c r="AI33" s="73" t="str">
        <f>IF(CCTSAS[[#This Row],[Allocation fonctions]]="","",IF(ISNA(VLOOKUP(CCTSAS[[#This Row],[Allocation fonctions]],'Variable et Dropdowns'!H28:H44,1,FALSE))=TRUE,"Veuillez utiliser les allocations parmis la liste déroulante.",""))</f>
        <v/>
      </c>
    </row>
    <row r="34" spans="1:35" x14ac:dyDescent="0.25">
      <c r="A34" s="73" t="str">
        <f>IF(CCTSAS[[#This Row],[Carrière]]="","",IF(ISNA(VLOOKUP(CCTSAS[[#This Row],[Carrière]],DROPDOWN[Dropdown9],1,FALSE))=TRUE,"Carrière: Utiliser la liste déroulante",""))</f>
        <v/>
      </c>
      <c r="B34" s="8"/>
      <c r="C34" s="8"/>
      <c r="D34" s="8"/>
      <c r="E34" s="21"/>
      <c r="F34" s="64"/>
      <c r="G34" s="8"/>
      <c r="H34" s="8"/>
      <c r="I34" s="10"/>
      <c r="J34" s="10"/>
      <c r="K34" s="9"/>
      <c r="L34" s="9"/>
      <c r="M34" s="9"/>
      <c r="N34"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4" s="9"/>
      <c r="P34" s="9"/>
      <c r="Q34" s="8"/>
      <c r="R34" s="38"/>
      <c r="S34" s="38"/>
      <c r="T34" s="38"/>
      <c r="U34" s="38"/>
      <c r="V34" s="38"/>
      <c r="W34" s="38"/>
      <c r="X34" s="38"/>
      <c r="Y34"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4" s="38"/>
      <c r="AA34"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4" s="8"/>
      <c r="AC34" s="203"/>
      <c r="AD34"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4"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4" s="503"/>
      <c r="AG34" s="44"/>
      <c r="AH34" s="189" t="str">
        <f>IF(COUNTA(CCTSAS[[#This Row],[N°]:[heures annuelles
selon contrat(s)]])=0,"",REVEX!$E$9)</f>
        <v/>
      </c>
      <c r="AI34" s="73" t="str">
        <f>IF(CCTSAS[[#This Row],[Allocation fonctions]]="","",IF(ISNA(VLOOKUP(CCTSAS[[#This Row],[Allocation fonctions]],'Variable et Dropdowns'!H29:H45,1,FALSE))=TRUE,"Veuillez utiliser les allocations parmis la liste déroulante.",""))</f>
        <v/>
      </c>
    </row>
    <row r="35" spans="1:35" x14ac:dyDescent="0.25">
      <c r="A35" s="73" t="str">
        <f>IF(CCTSAS[[#This Row],[Carrière]]="","",IF(ISNA(VLOOKUP(CCTSAS[[#This Row],[Carrière]],DROPDOWN[Dropdown9],1,FALSE))=TRUE,"Carrière: Utiliser la liste déroulante",""))</f>
        <v/>
      </c>
      <c r="B35" s="8"/>
      <c r="C35" s="8"/>
      <c r="D35" s="8"/>
      <c r="E35" s="21"/>
      <c r="F35" s="64"/>
      <c r="G35" s="8"/>
      <c r="H35" s="8"/>
      <c r="I35" s="10"/>
      <c r="J35" s="10"/>
      <c r="K35" s="9"/>
      <c r="L35" s="9"/>
      <c r="M35" s="9"/>
      <c r="N35"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5" s="9"/>
      <c r="P35" s="9"/>
      <c r="Q35" s="8"/>
      <c r="R35" s="38"/>
      <c r="S35" s="38"/>
      <c r="T35" s="38"/>
      <c r="U35" s="38"/>
      <c r="V35" s="38"/>
      <c r="W35" s="38"/>
      <c r="X35" s="38"/>
      <c r="Y35"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5" s="38"/>
      <c r="AA35"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5" s="8"/>
      <c r="AC35" s="202"/>
      <c r="AD35"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5"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5" s="503"/>
      <c r="AG35" s="44"/>
      <c r="AH35" s="189" t="str">
        <f>IF(COUNTA(CCTSAS[[#This Row],[N°]:[heures annuelles
selon contrat(s)]])=0,"",REVEX!$E$9)</f>
        <v/>
      </c>
      <c r="AI35" s="73" t="str">
        <f>IF(CCTSAS[[#This Row],[Allocation fonctions]]="","",IF(ISNA(VLOOKUP(CCTSAS[[#This Row],[Allocation fonctions]],'Variable et Dropdowns'!H30:H46,1,FALSE))=TRUE,"Veuillez utiliser les allocations parmis la liste déroulante.",""))</f>
        <v/>
      </c>
    </row>
    <row r="36" spans="1:35" x14ac:dyDescent="0.25">
      <c r="A36" s="73" t="str">
        <f>IF(CCTSAS[[#This Row],[Carrière]]="","",IF(ISNA(VLOOKUP(CCTSAS[[#This Row],[Carrière]],DROPDOWN[Dropdown9],1,FALSE))=TRUE,"Carrière: Utiliser la liste déroulante",""))</f>
        <v/>
      </c>
      <c r="B36" s="8"/>
      <c r="C36" s="8"/>
      <c r="D36" s="8"/>
      <c r="E36" s="21"/>
      <c r="F36" s="64"/>
      <c r="G36" s="8"/>
      <c r="H36" s="8"/>
      <c r="I36" s="10"/>
      <c r="J36" s="10"/>
      <c r="K36" s="9"/>
      <c r="L36" s="9"/>
      <c r="M36" s="9"/>
      <c r="N36"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6" s="9"/>
      <c r="P36" s="9"/>
      <c r="Q36" s="8"/>
      <c r="R36" s="38"/>
      <c r="S36" s="38"/>
      <c r="T36" s="38"/>
      <c r="U36" s="38"/>
      <c r="V36" s="38"/>
      <c r="W36" s="38"/>
      <c r="X36" s="38"/>
      <c r="Y36"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6" s="38"/>
      <c r="AA36"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6" s="8"/>
      <c r="AC36" s="202"/>
      <c r="AD36"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6"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6" s="503"/>
      <c r="AG36" s="44"/>
      <c r="AH36" s="189" t="str">
        <f>IF(COUNTA(CCTSAS[[#This Row],[N°]:[heures annuelles
selon contrat(s)]])=0,"",REVEX!$E$9)</f>
        <v/>
      </c>
      <c r="AI36" s="73" t="str">
        <f>IF(CCTSAS[[#This Row],[Allocation fonctions]]="","",IF(ISNA(VLOOKUP(CCTSAS[[#This Row],[Allocation fonctions]],'Variable et Dropdowns'!H31:H47,1,FALSE))=TRUE,"Veuillez utiliser les allocations parmis la liste déroulante.",""))</f>
        <v/>
      </c>
    </row>
    <row r="37" spans="1:35" x14ac:dyDescent="0.25">
      <c r="A37" s="73" t="str">
        <f>IF(CCTSAS[[#This Row],[Carrière]]="","",IF(ISNA(VLOOKUP(CCTSAS[[#This Row],[Carrière]],DROPDOWN[Dropdown9],1,FALSE))=TRUE,"Carrière: Utiliser la liste déroulante",""))</f>
        <v/>
      </c>
      <c r="B37" s="8"/>
      <c r="C37" s="8"/>
      <c r="D37" s="8"/>
      <c r="E37" s="21"/>
      <c r="F37" s="64"/>
      <c r="G37" s="8"/>
      <c r="H37" s="8"/>
      <c r="I37" s="10"/>
      <c r="J37" s="10"/>
      <c r="K37" s="9"/>
      <c r="L37" s="9"/>
      <c r="M37" s="9"/>
      <c r="N37"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7" s="9"/>
      <c r="P37" s="9"/>
      <c r="Q37" s="8"/>
      <c r="R37" s="38"/>
      <c r="S37" s="38"/>
      <c r="T37" s="38"/>
      <c r="U37" s="38"/>
      <c r="V37" s="38"/>
      <c r="W37" s="38"/>
      <c r="X37" s="38"/>
      <c r="Y37"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7" s="38"/>
      <c r="AA37"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7" s="8"/>
      <c r="AC37" s="203"/>
      <c r="AD37"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7"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7" s="503"/>
      <c r="AG37" s="44"/>
      <c r="AH37" s="189" t="str">
        <f>IF(COUNTA(CCTSAS[[#This Row],[N°]:[heures annuelles
selon contrat(s)]])=0,"",REVEX!$E$9)</f>
        <v/>
      </c>
      <c r="AI37" s="73" t="str">
        <f>IF(CCTSAS[[#This Row],[Allocation fonctions]]="","",IF(ISNA(VLOOKUP(CCTSAS[[#This Row],[Allocation fonctions]],'Variable et Dropdowns'!H32:H48,1,FALSE))=TRUE,"Veuillez utiliser les allocations parmis la liste déroulante.",""))</f>
        <v/>
      </c>
    </row>
    <row r="38" spans="1:35" x14ac:dyDescent="0.25">
      <c r="A38" s="73" t="str">
        <f>IF(CCTSAS[[#This Row],[Carrière]]="","",IF(ISNA(VLOOKUP(CCTSAS[[#This Row],[Carrière]],DROPDOWN[Dropdown9],1,FALSE))=TRUE,"Carrière: Utiliser la liste déroulante",""))</f>
        <v/>
      </c>
      <c r="B38" s="8"/>
      <c r="C38" s="8"/>
      <c r="D38" s="8"/>
      <c r="E38" s="21"/>
      <c r="F38" s="64"/>
      <c r="G38" s="8"/>
      <c r="H38" s="8"/>
      <c r="I38" s="10"/>
      <c r="J38" s="10"/>
      <c r="K38" s="9"/>
      <c r="L38" s="9"/>
      <c r="M38" s="9"/>
      <c r="N38"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8" s="9"/>
      <c r="P38" s="9"/>
      <c r="Q38" s="8"/>
      <c r="R38" s="38"/>
      <c r="S38" s="38"/>
      <c r="T38" s="38"/>
      <c r="U38" s="38"/>
      <c r="V38" s="38"/>
      <c r="W38" s="38"/>
      <c r="X38" s="38"/>
      <c r="Y38"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8" s="38"/>
      <c r="AA38"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8" s="8"/>
      <c r="AC38" s="203"/>
      <c r="AD38"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8"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8" s="503"/>
      <c r="AG38" s="44"/>
      <c r="AH38" s="189" t="str">
        <f>IF(COUNTA(CCTSAS[[#This Row],[N°]:[heures annuelles
selon contrat(s)]])=0,"",REVEX!$E$9)</f>
        <v/>
      </c>
      <c r="AI38" s="73" t="str">
        <f>IF(CCTSAS[[#This Row],[Allocation fonctions]]="","",IF(ISNA(VLOOKUP(CCTSAS[[#This Row],[Allocation fonctions]],'Variable et Dropdowns'!H33:H49,1,FALSE))=TRUE,"Veuillez utiliser les allocations parmis la liste déroulante.",""))</f>
        <v/>
      </c>
    </row>
    <row r="39" spans="1:35" x14ac:dyDescent="0.25">
      <c r="A39" s="73" t="str">
        <f>IF(CCTSAS[[#This Row],[Carrière]]="","",IF(ISNA(VLOOKUP(CCTSAS[[#This Row],[Carrière]],DROPDOWN[Dropdown9],1,FALSE))=TRUE,"Carrière: Utiliser la liste déroulante",""))</f>
        <v/>
      </c>
      <c r="B39" s="8"/>
      <c r="C39" s="8"/>
      <c r="D39" s="8"/>
      <c r="E39" s="21"/>
      <c r="F39" s="64"/>
      <c r="G39" s="8"/>
      <c r="H39" s="8"/>
      <c r="I39" s="10"/>
      <c r="J39" s="10"/>
      <c r="K39" s="9"/>
      <c r="L39" s="9"/>
      <c r="M39" s="9"/>
      <c r="N39"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9" s="9"/>
      <c r="P39" s="9"/>
      <c r="Q39" s="8"/>
      <c r="R39" s="38"/>
      <c r="S39" s="38"/>
      <c r="T39" s="38"/>
      <c r="U39" s="38"/>
      <c r="V39" s="38"/>
      <c r="W39" s="38"/>
      <c r="X39" s="38"/>
      <c r="Y39"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9" s="38"/>
      <c r="AA39"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9" s="8"/>
      <c r="AC39" s="203"/>
      <c r="AD39"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9"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9" s="503"/>
      <c r="AG39" s="44"/>
      <c r="AH39" s="189" t="str">
        <f>IF(COUNTA(CCTSAS[[#This Row],[N°]:[heures annuelles
selon contrat(s)]])=0,"",REVEX!$E$9)</f>
        <v/>
      </c>
      <c r="AI39" s="73" t="str">
        <f>IF(CCTSAS[[#This Row],[Allocation fonctions]]="","",IF(ISNA(VLOOKUP(CCTSAS[[#This Row],[Allocation fonctions]],'Variable et Dropdowns'!H34:H50,1,FALSE))=TRUE,"Veuillez utiliser les allocations parmis la liste déroulante.",""))</f>
        <v/>
      </c>
    </row>
    <row r="40" spans="1:35" x14ac:dyDescent="0.25">
      <c r="A40" s="73" t="str">
        <f>IF(CCTSAS[[#This Row],[Carrière]]="","",IF(ISNA(VLOOKUP(CCTSAS[[#This Row],[Carrière]],DROPDOWN[Dropdown9],1,FALSE))=TRUE,"Carrière: Utiliser la liste déroulante",""))</f>
        <v/>
      </c>
      <c r="B40" s="8"/>
      <c r="C40" s="8"/>
      <c r="D40" s="8"/>
      <c r="E40" s="21"/>
      <c r="F40" s="64"/>
      <c r="G40" s="8"/>
      <c r="H40" s="8"/>
      <c r="I40" s="10"/>
      <c r="J40" s="10"/>
      <c r="K40" s="9"/>
      <c r="L40" s="9"/>
      <c r="M40" s="9"/>
      <c r="N40"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0" s="9"/>
      <c r="P40" s="9"/>
      <c r="Q40" s="8"/>
      <c r="R40" s="38"/>
      <c r="S40" s="38"/>
      <c r="T40" s="38"/>
      <c r="U40" s="38"/>
      <c r="V40" s="38"/>
      <c r="W40" s="38"/>
      <c r="X40" s="38"/>
      <c r="Y40"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0" s="38"/>
      <c r="AA40"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0" s="8"/>
      <c r="AC40" s="203"/>
      <c r="AD40"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0"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0" s="503"/>
      <c r="AG40" s="44"/>
      <c r="AH40" s="189" t="str">
        <f>IF(COUNTA(CCTSAS[[#This Row],[N°]:[heures annuelles
selon contrat(s)]])=0,"",REVEX!$E$9)</f>
        <v/>
      </c>
      <c r="AI40" s="73" t="str">
        <f>IF(CCTSAS[[#This Row],[Allocation fonctions]]="","",IF(ISNA(VLOOKUP(CCTSAS[[#This Row],[Allocation fonctions]],'Variable et Dropdowns'!H35:H51,1,FALSE))=TRUE,"Veuillez utiliser les allocations parmis la liste déroulante.",""))</f>
        <v/>
      </c>
    </row>
    <row r="41" spans="1:35" x14ac:dyDescent="0.25">
      <c r="A41" s="73" t="str">
        <f>IF(CCTSAS[[#This Row],[Carrière]]="","",IF(ISNA(VLOOKUP(CCTSAS[[#This Row],[Carrière]],DROPDOWN[Dropdown9],1,FALSE))=TRUE,"Carrière: Utiliser la liste déroulante",""))</f>
        <v/>
      </c>
      <c r="B41" s="8"/>
      <c r="C41" s="8"/>
      <c r="D41" s="8"/>
      <c r="E41" s="21"/>
      <c r="F41" s="64"/>
      <c r="G41" s="8"/>
      <c r="H41" s="8"/>
      <c r="I41" s="10"/>
      <c r="J41" s="10"/>
      <c r="K41" s="9"/>
      <c r="L41" s="9"/>
      <c r="M41" s="9"/>
      <c r="N41"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1" s="9"/>
      <c r="P41" s="9"/>
      <c r="Q41" s="8"/>
      <c r="R41" s="38"/>
      <c r="S41" s="38"/>
      <c r="T41" s="38"/>
      <c r="U41" s="38"/>
      <c r="V41" s="38"/>
      <c r="W41" s="38"/>
      <c r="X41" s="38"/>
      <c r="Y41"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1" s="38"/>
      <c r="AA41"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1" s="8"/>
      <c r="AC41" s="202"/>
      <c r="AD41"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1"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1" s="503"/>
      <c r="AG41" s="44"/>
      <c r="AH41" s="189" t="str">
        <f>IF(COUNTA(CCTSAS[[#This Row],[N°]:[heures annuelles
selon contrat(s)]])=0,"",REVEX!$E$9)</f>
        <v/>
      </c>
      <c r="AI41" s="73" t="str">
        <f>IF(CCTSAS[[#This Row],[Allocation fonctions]]="","",IF(ISNA(VLOOKUP(CCTSAS[[#This Row],[Allocation fonctions]],'Variable et Dropdowns'!H36:H52,1,FALSE))=TRUE,"Veuillez utiliser les allocations parmis la liste déroulante.",""))</f>
        <v/>
      </c>
    </row>
    <row r="42" spans="1:35" x14ac:dyDescent="0.25">
      <c r="A42" s="73" t="str">
        <f>IF(CCTSAS[[#This Row],[Carrière]]="","",IF(ISNA(VLOOKUP(CCTSAS[[#This Row],[Carrière]],DROPDOWN[Dropdown9],1,FALSE))=TRUE,"Carrière: Utiliser la liste déroulante",""))</f>
        <v/>
      </c>
      <c r="B42" s="8"/>
      <c r="C42" s="8"/>
      <c r="D42" s="8"/>
      <c r="E42" s="21"/>
      <c r="F42" s="64"/>
      <c r="G42" s="8"/>
      <c r="H42" s="8"/>
      <c r="I42" s="10"/>
      <c r="J42" s="10"/>
      <c r="K42" s="9"/>
      <c r="L42" s="9"/>
      <c r="M42" s="9"/>
      <c r="N42"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2" s="9"/>
      <c r="P42" s="9"/>
      <c r="Q42" s="8"/>
      <c r="R42" s="38"/>
      <c r="S42" s="38"/>
      <c r="T42" s="38"/>
      <c r="U42" s="38"/>
      <c r="V42" s="38"/>
      <c r="W42" s="38"/>
      <c r="X42" s="38"/>
      <c r="Y42"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2" s="38"/>
      <c r="AA42"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2" s="8"/>
      <c r="AC42" s="203"/>
      <c r="AD42"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2"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2" s="503"/>
      <c r="AG42" s="44"/>
      <c r="AH42" s="189" t="str">
        <f>IF(COUNTA(CCTSAS[[#This Row],[N°]:[heures annuelles
selon contrat(s)]])=0,"",REVEX!$E$9)</f>
        <v/>
      </c>
      <c r="AI42" s="73" t="str">
        <f>IF(CCTSAS[[#This Row],[Allocation fonctions]]="","",IF(ISNA(VLOOKUP(CCTSAS[[#This Row],[Allocation fonctions]],'Variable et Dropdowns'!H37:H53,1,FALSE))=TRUE,"Veuillez utiliser les allocations parmis la liste déroulante.",""))</f>
        <v/>
      </c>
    </row>
    <row r="43" spans="1:35" x14ac:dyDescent="0.25">
      <c r="A43" s="73" t="str">
        <f>IF(CCTSAS[[#This Row],[Carrière]]="","",IF(ISNA(VLOOKUP(CCTSAS[[#This Row],[Carrière]],DROPDOWN[Dropdown9],1,FALSE))=TRUE,"Carrière: Utiliser la liste déroulante",""))</f>
        <v/>
      </c>
      <c r="B43" s="8"/>
      <c r="C43" s="8"/>
      <c r="D43" s="8"/>
      <c r="E43" s="21"/>
      <c r="F43" s="64"/>
      <c r="G43" s="8"/>
      <c r="H43" s="8"/>
      <c r="I43" s="10"/>
      <c r="J43" s="10"/>
      <c r="K43" s="9"/>
      <c r="L43" s="9"/>
      <c r="M43" s="9"/>
      <c r="N43"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3" s="9"/>
      <c r="P43" s="9"/>
      <c r="Q43" s="8"/>
      <c r="R43" s="38"/>
      <c r="S43" s="38"/>
      <c r="T43" s="38"/>
      <c r="U43" s="38"/>
      <c r="V43" s="38"/>
      <c r="W43" s="38"/>
      <c r="X43" s="38"/>
      <c r="Y43"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3" s="38"/>
      <c r="AA43"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3" s="8"/>
      <c r="AC43" s="203"/>
      <c r="AD43"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3"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3" s="503"/>
      <c r="AG43" s="44"/>
      <c r="AH43" s="189" t="str">
        <f>IF(COUNTA(CCTSAS[[#This Row],[N°]:[heures annuelles
selon contrat(s)]])=0,"",REVEX!$E$9)</f>
        <v/>
      </c>
      <c r="AI43" s="73" t="str">
        <f>IF(CCTSAS[[#This Row],[Allocation fonctions]]="","",IF(ISNA(VLOOKUP(CCTSAS[[#This Row],[Allocation fonctions]],'Variable et Dropdowns'!H38:H54,1,FALSE))=TRUE,"Veuillez utiliser les allocations parmis la liste déroulante.",""))</f>
        <v/>
      </c>
    </row>
    <row r="44" spans="1:35" x14ac:dyDescent="0.25">
      <c r="A44" s="73" t="str">
        <f>IF(CCTSAS[[#This Row],[Carrière]]="","",IF(ISNA(VLOOKUP(CCTSAS[[#This Row],[Carrière]],DROPDOWN[Dropdown9],1,FALSE))=TRUE,"Carrière: Utiliser la liste déroulante",""))</f>
        <v/>
      </c>
      <c r="B44" s="8"/>
      <c r="C44" s="8"/>
      <c r="D44" s="8"/>
      <c r="E44" s="21"/>
      <c r="F44" s="64"/>
      <c r="G44" s="8"/>
      <c r="H44" s="8"/>
      <c r="I44" s="10"/>
      <c r="J44" s="10"/>
      <c r="K44" s="9"/>
      <c r="L44" s="9"/>
      <c r="M44" s="9"/>
      <c r="N44"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4" s="9"/>
      <c r="P44" s="9"/>
      <c r="Q44" s="8"/>
      <c r="R44" s="38"/>
      <c r="S44" s="38"/>
      <c r="T44" s="38"/>
      <c r="U44" s="38"/>
      <c r="V44" s="38"/>
      <c r="W44" s="38"/>
      <c r="X44" s="38"/>
      <c r="Y44"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4" s="38"/>
      <c r="AA44"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4" s="8"/>
      <c r="AC44" s="203"/>
      <c r="AD44"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4"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4" s="503"/>
      <c r="AG44" s="44"/>
      <c r="AH44" s="189" t="str">
        <f>IF(COUNTA(CCTSAS[[#This Row],[N°]:[heures annuelles
selon contrat(s)]])=0,"",REVEX!$E$9)</f>
        <v/>
      </c>
      <c r="AI44" s="73" t="str">
        <f>IF(CCTSAS[[#This Row],[Allocation fonctions]]="","",IF(ISNA(VLOOKUP(CCTSAS[[#This Row],[Allocation fonctions]],'Variable et Dropdowns'!H39:H55,1,FALSE))=TRUE,"Veuillez utiliser les allocations parmis la liste déroulante.",""))</f>
        <v/>
      </c>
    </row>
    <row r="45" spans="1:35" x14ac:dyDescent="0.25">
      <c r="A45" s="73" t="str">
        <f>IF(CCTSAS[[#This Row],[Carrière]]="","",IF(ISNA(VLOOKUP(CCTSAS[[#This Row],[Carrière]],DROPDOWN[Dropdown9],1,FALSE))=TRUE,"Carrière: Utiliser la liste déroulante",""))</f>
        <v/>
      </c>
      <c r="B45" s="8"/>
      <c r="C45" s="8"/>
      <c r="D45" s="8"/>
      <c r="E45" s="21"/>
      <c r="F45" s="64"/>
      <c r="G45" s="8"/>
      <c r="H45" s="8"/>
      <c r="I45" s="10"/>
      <c r="J45" s="10"/>
      <c r="K45" s="9"/>
      <c r="L45" s="9"/>
      <c r="M45" s="9"/>
      <c r="N45"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5" s="9"/>
      <c r="P45" s="9"/>
      <c r="Q45" s="8"/>
      <c r="R45" s="38"/>
      <c r="S45" s="38"/>
      <c r="T45" s="38"/>
      <c r="U45" s="38"/>
      <c r="V45" s="38"/>
      <c r="W45" s="38"/>
      <c r="X45" s="38"/>
      <c r="Y45"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5" s="38"/>
      <c r="AA45"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5" s="8"/>
      <c r="AC45" s="203"/>
      <c r="AD45"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5"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5" s="503"/>
      <c r="AG45" s="44"/>
      <c r="AH45" s="189" t="str">
        <f>IF(COUNTA(CCTSAS[[#This Row],[N°]:[heures annuelles
selon contrat(s)]])=0,"",REVEX!$E$9)</f>
        <v/>
      </c>
      <c r="AI45" s="73" t="str">
        <f>IF(CCTSAS[[#This Row],[Allocation fonctions]]="","",IF(ISNA(VLOOKUP(CCTSAS[[#This Row],[Allocation fonctions]],'Variable et Dropdowns'!H40:H56,1,FALSE))=TRUE,"Veuillez utiliser les allocations parmis la liste déroulante.",""))</f>
        <v/>
      </c>
    </row>
    <row r="46" spans="1:35" x14ac:dyDescent="0.25">
      <c r="A46" s="73" t="str">
        <f>IF(CCTSAS[[#This Row],[Carrière]]="","",IF(ISNA(VLOOKUP(CCTSAS[[#This Row],[Carrière]],DROPDOWN[Dropdown9],1,FALSE))=TRUE,"Carrière: Utiliser la liste déroulante",""))</f>
        <v/>
      </c>
      <c r="B46" s="8"/>
      <c r="C46" s="8"/>
      <c r="D46" s="8"/>
      <c r="E46" s="21"/>
      <c r="F46" s="64"/>
      <c r="G46" s="8"/>
      <c r="H46" s="8"/>
      <c r="I46" s="10"/>
      <c r="J46" s="10"/>
      <c r="K46" s="9"/>
      <c r="L46" s="9"/>
      <c r="M46" s="9"/>
      <c r="N46"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6" s="9"/>
      <c r="P46" s="9"/>
      <c r="Q46" s="8"/>
      <c r="R46" s="38"/>
      <c r="S46" s="38"/>
      <c r="T46" s="38"/>
      <c r="U46" s="38"/>
      <c r="V46" s="38"/>
      <c r="W46" s="38"/>
      <c r="X46" s="38"/>
      <c r="Y46"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6" s="38"/>
      <c r="AA46"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6" s="8"/>
      <c r="AC46" s="203"/>
      <c r="AD46"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6"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6" s="503"/>
      <c r="AG46" s="44"/>
      <c r="AH46" s="189" t="str">
        <f>IF(COUNTA(CCTSAS[[#This Row],[N°]:[heures annuelles
selon contrat(s)]])=0,"",REVEX!$E$9)</f>
        <v/>
      </c>
      <c r="AI46" s="73" t="str">
        <f>IF(CCTSAS[[#This Row],[Allocation fonctions]]="","",IF(ISNA(VLOOKUP(CCTSAS[[#This Row],[Allocation fonctions]],'Variable et Dropdowns'!H41:H57,1,FALSE))=TRUE,"Veuillez utiliser les allocations parmis la liste déroulante.",""))</f>
        <v/>
      </c>
    </row>
    <row r="47" spans="1:35" x14ac:dyDescent="0.25">
      <c r="A47" s="73" t="str">
        <f>IF(CCTSAS[[#This Row],[Carrière]]="","",IF(ISNA(VLOOKUP(CCTSAS[[#This Row],[Carrière]],DROPDOWN[Dropdown9],1,FALSE))=TRUE,"Carrière: Utiliser la liste déroulante",""))</f>
        <v/>
      </c>
      <c r="B47" s="8"/>
      <c r="C47" s="8"/>
      <c r="D47" s="8"/>
      <c r="E47" s="21"/>
      <c r="F47" s="64"/>
      <c r="G47" s="8"/>
      <c r="H47" s="8"/>
      <c r="I47" s="10"/>
      <c r="J47" s="10"/>
      <c r="K47" s="9"/>
      <c r="L47" s="9"/>
      <c r="M47" s="9"/>
      <c r="N47"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7" s="9"/>
      <c r="P47" s="9"/>
      <c r="Q47" s="8"/>
      <c r="R47" s="38"/>
      <c r="S47" s="38"/>
      <c r="T47" s="38"/>
      <c r="U47" s="38"/>
      <c r="V47" s="38"/>
      <c r="W47" s="38"/>
      <c r="X47" s="38"/>
      <c r="Y47"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7" s="38"/>
      <c r="AA47"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7" s="8"/>
      <c r="AC47" s="203"/>
      <c r="AD47"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7"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7" s="503"/>
      <c r="AG47" s="44"/>
      <c r="AH47" s="189" t="str">
        <f>IF(COUNTA(CCTSAS[[#This Row],[N°]:[heures annuelles
selon contrat(s)]])=0,"",REVEX!$E$9)</f>
        <v/>
      </c>
      <c r="AI47" s="73" t="str">
        <f>IF(CCTSAS[[#This Row],[Allocation fonctions]]="","",IF(ISNA(VLOOKUP(CCTSAS[[#This Row],[Allocation fonctions]],'Variable et Dropdowns'!H42:H58,1,FALSE))=TRUE,"Veuillez utiliser les allocations parmis la liste déroulante.",""))</f>
        <v/>
      </c>
    </row>
    <row r="48" spans="1:35" x14ac:dyDescent="0.25">
      <c r="A48" s="73" t="str">
        <f>IF(CCTSAS[[#This Row],[Carrière]]="","",IF(ISNA(VLOOKUP(CCTSAS[[#This Row],[Carrière]],DROPDOWN[Dropdown9],1,FALSE))=TRUE,"Carrière: Utiliser la liste déroulante",""))</f>
        <v/>
      </c>
      <c r="B48" s="8"/>
      <c r="C48" s="8"/>
      <c r="D48" s="8"/>
      <c r="E48" s="21"/>
      <c r="F48" s="64"/>
      <c r="G48" s="8"/>
      <c r="H48" s="8"/>
      <c r="I48" s="10"/>
      <c r="J48" s="10"/>
      <c r="K48" s="9"/>
      <c r="L48" s="9"/>
      <c r="M48" s="9"/>
      <c r="N48"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8" s="9"/>
      <c r="P48" s="9"/>
      <c r="Q48" s="8"/>
      <c r="R48" s="38"/>
      <c r="S48" s="38"/>
      <c r="T48" s="38"/>
      <c r="U48" s="38"/>
      <c r="V48" s="38"/>
      <c r="W48" s="38"/>
      <c r="X48" s="38"/>
      <c r="Y48"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8" s="38"/>
      <c r="AA48"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8" s="8"/>
      <c r="AC48" s="203"/>
      <c r="AD48"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8"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8" s="503"/>
      <c r="AG48" s="44"/>
      <c r="AH48" s="189" t="str">
        <f>IF(COUNTA(CCTSAS[[#This Row],[N°]:[heures annuelles
selon contrat(s)]])=0,"",REVEX!$E$9)</f>
        <v/>
      </c>
      <c r="AI48" s="73" t="str">
        <f>IF(CCTSAS[[#This Row],[Allocation fonctions]]="","",IF(ISNA(VLOOKUP(CCTSAS[[#This Row],[Allocation fonctions]],'Variable et Dropdowns'!H43:H59,1,FALSE))=TRUE,"Veuillez utiliser les allocations parmis la liste déroulante.",""))</f>
        <v/>
      </c>
    </row>
    <row r="49" spans="1:35" x14ac:dyDescent="0.25">
      <c r="A49" s="73" t="str">
        <f>IF(CCTSAS[[#This Row],[Carrière]]="","",IF(ISNA(VLOOKUP(CCTSAS[[#This Row],[Carrière]],DROPDOWN[Dropdown9],1,FALSE))=TRUE,"Carrière: Utiliser la liste déroulante",""))</f>
        <v/>
      </c>
      <c r="B49" s="8"/>
      <c r="C49" s="8"/>
      <c r="D49" s="8"/>
      <c r="E49" s="21"/>
      <c r="F49" s="64"/>
      <c r="G49" s="8"/>
      <c r="H49" s="8"/>
      <c r="I49" s="10"/>
      <c r="J49" s="10"/>
      <c r="K49" s="9"/>
      <c r="L49" s="9"/>
      <c r="M49" s="9"/>
      <c r="N49"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9" s="9"/>
      <c r="P49" s="9"/>
      <c r="Q49" s="8"/>
      <c r="R49" s="38"/>
      <c r="S49" s="38"/>
      <c r="T49" s="38"/>
      <c r="U49" s="38"/>
      <c r="V49" s="38"/>
      <c r="W49" s="38"/>
      <c r="X49" s="38"/>
      <c r="Y49"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9" s="38"/>
      <c r="AA49"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9" s="8"/>
      <c r="AC49" s="203"/>
      <c r="AD49"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9"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9" s="503"/>
      <c r="AG49" s="44"/>
      <c r="AH49" s="189" t="str">
        <f>IF(COUNTA(CCTSAS[[#This Row],[N°]:[heures annuelles
selon contrat(s)]])=0,"",REVEX!$E$9)</f>
        <v/>
      </c>
      <c r="AI49" s="73" t="str">
        <f>IF(CCTSAS[[#This Row],[Allocation fonctions]]="","",IF(ISNA(VLOOKUP(CCTSAS[[#This Row],[Allocation fonctions]],'Variable et Dropdowns'!H44:H60,1,FALSE))=TRUE,"Veuillez utiliser les allocations parmis la liste déroulante.",""))</f>
        <v/>
      </c>
    </row>
    <row r="50" spans="1:35" x14ac:dyDescent="0.25">
      <c r="A50" s="73" t="str">
        <f>IF(CCTSAS[[#This Row],[Carrière]]="","",IF(ISNA(VLOOKUP(CCTSAS[[#This Row],[Carrière]],DROPDOWN[Dropdown9],1,FALSE))=TRUE,"Carrière: Utiliser la liste déroulante",""))</f>
        <v/>
      </c>
      <c r="B50" s="8"/>
      <c r="C50" s="8"/>
      <c r="D50" s="8"/>
      <c r="E50" s="21"/>
      <c r="F50" s="64"/>
      <c r="G50" s="8"/>
      <c r="H50" s="8"/>
      <c r="I50" s="10"/>
      <c r="J50" s="10"/>
      <c r="K50" s="9"/>
      <c r="L50" s="9"/>
      <c r="M50" s="9"/>
      <c r="N50"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50" s="9"/>
      <c r="P50" s="9"/>
      <c r="Q50" s="8"/>
      <c r="R50" s="38"/>
      <c r="S50" s="38"/>
      <c r="T50" s="38"/>
      <c r="U50" s="38"/>
      <c r="V50" s="38"/>
      <c r="W50" s="38"/>
      <c r="X50" s="38"/>
      <c r="Y50"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50" s="38"/>
      <c r="AA50"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50" s="8"/>
      <c r="AC50" s="203"/>
      <c r="AD50"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50"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50" s="503"/>
      <c r="AG50" s="44"/>
      <c r="AH50" s="189" t="str">
        <f>IF(COUNTA(CCTSAS[[#This Row],[N°]:[heures annuelles
selon contrat(s)]])=0,"",REVEX!$E$9)</f>
        <v/>
      </c>
      <c r="AI50" s="73" t="str">
        <f>IF(CCTSAS[[#This Row],[Allocation fonctions]]="","",IF(ISNA(VLOOKUP(CCTSAS[[#This Row],[Allocation fonctions]],'Variable et Dropdowns'!H45:H61,1,FALSE))=TRUE,"Veuillez utiliser les allocations parmis la liste déroulante.",""))</f>
        <v/>
      </c>
    </row>
    <row r="51" spans="1:35" x14ac:dyDescent="0.25">
      <c r="A51" s="73" t="str">
        <f>IF(CCTSAS[[#This Row],[Carrière]]="","",IF(ISNA(VLOOKUP(CCTSAS[[#This Row],[Carrière]],DROPDOWN[Dropdown9],1,FALSE))=TRUE,"Carrière: Utiliser la liste déroulante",""))</f>
        <v/>
      </c>
      <c r="B51" s="8"/>
      <c r="C51" s="8"/>
      <c r="D51" s="8"/>
      <c r="E51" s="21"/>
      <c r="F51" s="64"/>
      <c r="G51" s="8"/>
      <c r="H51" s="8"/>
      <c r="I51" s="10"/>
      <c r="J51" s="10"/>
      <c r="K51" s="9"/>
      <c r="L51" s="9"/>
      <c r="M51" s="9"/>
      <c r="N51"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51" s="9"/>
      <c r="P51" s="9"/>
      <c r="Q51" s="8"/>
      <c r="R51" s="38"/>
      <c r="S51" s="38"/>
      <c r="T51" s="38"/>
      <c r="U51" s="38"/>
      <c r="V51" s="38"/>
      <c r="W51" s="38"/>
      <c r="X51" s="38"/>
      <c r="Y51"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51" s="38"/>
      <c r="AA51"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51" s="8"/>
      <c r="AC51" s="203"/>
      <c r="AD51"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51"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51" s="503"/>
      <c r="AG51" s="44"/>
      <c r="AH51" s="189" t="str">
        <f>IF(COUNTA(CCTSAS[[#This Row],[N°]:[heures annuelles
selon contrat(s)]])=0,"",REVEX!$E$9)</f>
        <v/>
      </c>
      <c r="AI51" s="73" t="str">
        <f>IF(CCTSAS[[#This Row],[Allocation fonctions]]="","",IF(ISNA(VLOOKUP(CCTSAS[[#This Row],[Allocation fonctions]],'Variable et Dropdowns'!H46:H62,1,FALSE))=TRUE,"Veuillez utiliser les allocations parmis la liste déroulante.",""))</f>
        <v/>
      </c>
    </row>
    <row r="52" spans="1:35" x14ac:dyDescent="0.25">
      <c r="A52" s="73" t="str">
        <f>IF(CCTSAS[[#This Row],[Carrière]]="","",IF(ISNA(VLOOKUP(CCTSAS[[#This Row],[Carrière]],DROPDOWN[Dropdown9],1,FALSE))=TRUE,"Carrière: Utiliser la liste déroulante",""))</f>
        <v/>
      </c>
      <c r="B52" s="8"/>
      <c r="C52" s="8"/>
      <c r="D52" s="8"/>
      <c r="E52" s="21"/>
      <c r="F52" s="64"/>
      <c r="G52" s="8"/>
      <c r="H52" s="8"/>
      <c r="I52" s="10"/>
      <c r="J52" s="10"/>
      <c r="K52" s="9"/>
      <c r="L52" s="9"/>
      <c r="M52" s="9"/>
      <c r="N52"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52" s="9"/>
      <c r="P52" s="9"/>
      <c r="Q52" s="8"/>
      <c r="R52" s="38"/>
      <c r="S52" s="38"/>
      <c r="T52" s="38"/>
      <c r="U52" s="38"/>
      <c r="V52" s="38"/>
      <c r="W52" s="38"/>
      <c r="X52" s="38"/>
      <c r="Y52"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52" s="38"/>
      <c r="AA52"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52" s="8"/>
      <c r="AC52" s="203"/>
      <c r="AD52"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52"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52" s="503"/>
      <c r="AG52" s="44"/>
      <c r="AH52" s="189" t="str">
        <f>IF(COUNTA(CCTSAS[[#This Row],[N°]:[heures annuelles
selon contrat(s)]])=0,"",REVEX!$E$9)</f>
        <v/>
      </c>
      <c r="AI52" s="73" t="str">
        <f>IF(CCTSAS[[#This Row],[Allocation fonctions]]="","",IF(ISNA(VLOOKUP(CCTSAS[[#This Row],[Allocation fonctions]],'Variable et Dropdowns'!H47:H63,1,FALSE))=TRUE,"Veuillez utiliser les allocations parmis la liste déroulante.",""))</f>
        <v/>
      </c>
    </row>
    <row r="53" spans="1:35" x14ac:dyDescent="0.25">
      <c r="A53" s="73" t="str">
        <f>IF(CCTSAS[[#This Row],[Carrière]]="","",IF(ISNA(VLOOKUP(CCTSAS[[#This Row],[Carrière]],DROPDOWN[Dropdown9],1,FALSE))=TRUE,"Carrière: Utiliser la liste déroulante",""))</f>
        <v/>
      </c>
      <c r="B53" s="8"/>
      <c r="C53" s="8"/>
      <c r="D53" s="8"/>
      <c r="E53" s="21"/>
      <c r="F53" s="64"/>
      <c r="G53" s="8"/>
      <c r="H53" s="8"/>
      <c r="I53" s="10"/>
      <c r="J53" s="10"/>
      <c r="K53" s="9"/>
      <c r="L53" s="9"/>
      <c r="M53" s="9"/>
      <c r="N53"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53" s="9"/>
      <c r="P53" s="9"/>
      <c r="Q53" s="8"/>
      <c r="R53" s="38"/>
      <c r="S53" s="38"/>
      <c r="T53" s="38"/>
      <c r="U53" s="38"/>
      <c r="V53" s="38"/>
      <c r="W53" s="38"/>
      <c r="X53" s="38"/>
      <c r="Y53"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53" s="38"/>
      <c r="AA53"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53" s="8"/>
      <c r="AC53" s="203"/>
      <c r="AD53"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53"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53" s="503"/>
      <c r="AG53" s="44"/>
      <c r="AH53" s="189" t="str">
        <f>IF(COUNTA(CCTSAS[[#This Row],[N°]:[heures annuelles
selon contrat(s)]])=0,"",REVEX!$E$9)</f>
        <v/>
      </c>
      <c r="AI53" s="73" t="str">
        <f>IF(CCTSAS[[#This Row],[Allocation fonctions]]="","",IF(ISNA(VLOOKUP(CCTSAS[[#This Row],[Allocation fonctions]],'Variable et Dropdowns'!H48:H64,1,FALSE))=TRUE,"Veuillez utiliser les allocations parmis la liste déroulante.",""))</f>
        <v/>
      </c>
    </row>
    <row r="54" spans="1:35" x14ac:dyDescent="0.25">
      <c r="A54" s="73" t="str">
        <f>IF(CCTSAS[[#This Row],[Carrière]]="","",IF(ISNA(VLOOKUP(CCTSAS[[#This Row],[Carrière]],DROPDOWN[Dropdown9],1,FALSE))=TRUE,"Carrière: Utiliser la liste déroulante",""))</f>
        <v/>
      </c>
      <c r="B54" s="8"/>
      <c r="C54" s="8"/>
      <c r="D54" s="8"/>
      <c r="E54" s="21"/>
      <c r="F54" s="64"/>
      <c r="G54" s="8"/>
      <c r="H54" s="8"/>
      <c r="I54" s="10"/>
      <c r="J54" s="10"/>
      <c r="K54" s="9"/>
      <c r="L54" s="9"/>
      <c r="M54" s="9"/>
      <c r="N54"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54" s="9"/>
      <c r="P54" s="9"/>
      <c r="Q54" s="8"/>
      <c r="R54" s="38"/>
      <c r="S54" s="38"/>
      <c r="T54" s="38"/>
      <c r="U54" s="38"/>
      <c r="V54" s="38"/>
      <c r="W54" s="38"/>
      <c r="X54" s="38"/>
      <c r="Y54"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54" s="38"/>
      <c r="AA54"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54" s="8"/>
      <c r="AC54" s="203"/>
      <c r="AD54"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54"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54" s="503"/>
      <c r="AG54" s="44"/>
      <c r="AH54" s="189" t="str">
        <f>IF(COUNTA(CCTSAS[[#This Row],[N°]:[heures annuelles
selon contrat(s)]])=0,"",REVEX!$E$9)</f>
        <v/>
      </c>
      <c r="AI54" s="73" t="str">
        <f>IF(CCTSAS[[#This Row],[Allocation fonctions]]="","",IF(ISNA(VLOOKUP(CCTSAS[[#This Row],[Allocation fonctions]],'Variable et Dropdowns'!H49:H65,1,FALSE))=TRUE,"Veuillez utiliser les allocations parmis la liste déroulante.",""))</f>
        <v/>
      </c>
    </row>
    <row r="55" spans="1:35" x14ac:dyDescent="0.25">
      <c r="A55" s="73" t="str">
        <f>IF(CCTSAS[[#This Row],[Carrière]]="","",IF(ISNA(VLOOKUP(CCTSAS[[#This Row],[Carrière]],DROPDOWN[Dropdown9],1,FALSE))=TRUE,"Carrière: Utiliser la liste déroulante",""))</f>
        <v/>
      </c>
      <c r="B55" s="8"/>
      <c r="C55" s="8"/>
      <c r="D55" s="8"/>
      <c r="E55" s="21"/>
      <c r="F55" s="64"/>
      <c r="G55" s="8"/>
      <c r="H55" s="8"/>
      <c r="I55" s="10"/>
      <c r="J55" s="10"/>
      <c r="K55" s="9"/>
      <c r="L55" s="9"/>
      <c r="M55" s="9"/>
      <c r="N55"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55" s="9"/>
      <c r="P55" s="9"/>
      <c r="Q55" s="8"/>
      <c r="R55" s="38"/>
      <c r="S55" s="38"/>
      <c r="T55" s="38"/>
      <c r="U55" s="38"/>
      <c r="V55" s="38"/>
      <c r="W55" s="38"/>
      <c r="X55" s="38"/>
      <c r="Y55"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55" s="38"/>
      <c r="AA55"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55" s="8"/>
      <c r="AC55" s="203"/>
      <c r="AD55"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55"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55" s="503"/>
      <c r="AG55" s="44"/>
      <c r="AH55" s="189" t="str">
        <f>IF(COUNTA(CCTSAS[[#This Row],[N°]:[heures annuelles
selon contrat(s)]])=0,"",REVEX!$E$9)</f>
        <v/>
      </c>
      <c r="AI55" s="73" t="str">
        <f>IF(CCTSAS[[#This Row],[Allocation fonctions]]="","",IF(ISNA(VLOOKUP(CCTSAS[[#This Row],[Allocation fonctions]],'Variable et Dropdowns'!H50:H66,1,FALSE))=TRUE,"Veuillez utiliser les allocations parmis la liste déroulante.",""))</f>
        <v/>
      </c>
    </row>
    <row r="56" spans="1:35" x14ac:dyDescent="0.25">
      <c r="A56" s="73" t="str">
        <f>IF(CCTSAS[[#This Row],[Carrière]]="","",IF(ISNA(VLOOKUP(CCTSAS[[#This Row],[Carrière]],DROPDOWN[Dropdown9],1,FALSE))=TRUE,"Carrière: Utiliser la liste déroulante",""))</f>
        <v/>
      </c>
      <c r="B56" s="8"/>
      <c r="C56" s="8"/>
      <c r="D56" s="8"/>
      <c r="E56" s="21"/>
      <c r="F56" s="64"/>
      <c r="G56" s="8"/>
      <c r="H56" s="8"/>
      <c r="I56" s="10"/>
      <c r="J56" s="10"/>
      <c r="K56" s="9"/>
      <c r="L56" s="9"/>
      <c r="M56" s="9"/>
      <c r="N56"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56" s="9"/>
      <c r="P56" s="9"/>
      <c r="Q56" s="8"/>
      <c r="R56" s="38"/>
      <c r="S56" s="38"/>
      <c r="T56" s="38"/>
      <c r="U56" s="38"/>
      <c r="V56" s="38"/>
      <c r="W56" s="38"/>
      <c r="X56" s="38"/>
      <c r="Y56"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56" s="38"/>
      <c r="AA56"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56" s="8"/>
      <c r="AC56" s="203"/>
      <c r="AD56"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56"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56" s="503"/>
      <c r="AG56" s="44"/>
      <c r="AH56" s="189" t="str">
        <f>IF(COUNTA(CCTSAS[[#This Row],[N°]:[heures annuelles
selon contrat(s)]])=0,"",REVEX!$E$9)</f>
        <v/>
      </c>
      <c r="AI56" s="73" t="str">
        <f>IF(CCTSAS[[#This Row],[Allocation fonctions]]="","",IF(ISNA(VLOOKUP(CCTSAS[[#This Row],[Allocation fonctions]],'Variable et Dropdowns'!H51:H67,1,FALSE))=TRUE,"Veuillez utiliser les allocations parmis la liste déroulante.",""))</f>
        <v/>
      </c>
    </row>
    <row r="57" spans="1:35" x14ac:dyDescent="0.25">
      <c r="A57" s="73" t="str">
        <f>IF(CCTSAS[[#This Row],[Carrière]]="","",IF(ISNA(VLOOKUP(CCTSAS[[#This Row],[Carrière]],DROPDOWN[Dropdown9],1,FALSE))=TRUE,"Carrière: Utiliser la liste déroulante",""))</f>
        <v/>
      </c>
      <c r="B57" s="8"/>
      <c r="C57" s="8"/>
      <c r="D57" s="8"/>
      <c r="E57" s="21"/>
      <c r="F57" s="64"/>
      <c r="G57" s="8"/>
      <c r="H57" s="8"/>
      <c r="I57" s="10"/>
      <c r="J57" s="10"/>
      <c r="K57" s="9"/>
      <c r="L57" s="9"/>
      <c r="M57" s="9"/>
      <c r="N57"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57" s="9"/>
      <c r="P57" s="9"/>
      <c r="Q57" s="8"/>
      <c r="R57" s="38"/>
      <c r="S57" s="38"/>
      <c r="T57" s="38"/>
      <c r="U57" s="38"/>
      <c r="V57" s="38"/>
      <c r="W57" s="38"/>
      <c r="X57" s="38"/>
      <c r="Y57"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57" s="38"/>
      <c r="AA57"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57" s="8"/>
      <c r="AC57" s="202"/>
      <c r="AD57"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57"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57" s="503"/>
      <c r="AG57" s="44"/>
      <c r="AH57" s="189" t="str">
        <f>IF(COUNTA(CCTSAS[[#This Row],[N°]:[heures annuelles
selon contrat(s)]])=0,"",REVEX!$E$9)</f>
        <v/>
      </c>
      <c r="AI57" s="73" t="str">
        <f>IF(CCTSAS[[#This Row],[Allocation fonctions]]="","",IF(ISNA(VLOOKUP(CCTSAS[[#This Row],[Allocation fonctions]],'Variable et Dropdowns'!H52:H68,1,FALSE))=TRUE,"Veuillez utiliser les allocations parmis la liste déroulante.",""))</f>
        <v/>
      </c>
    </row>
    <row r="58" spans="1:35" x14ac:dyDescent="0.25">
      <c r="A58" s="73" t="str">
        <f>IF(CCTSAS[[#This Row],[Carrière]]="","",IF(ISNA(VLOOKUP(CCTSAS[[#This Row],[Carrière]],DROPDOWN[Dropdown9],1,FALSE))=TRUE,"Carrière: Utiliser la liste déroulante",""))</f>
        <v/>
      </c>
      <c r="B58" s="8"/>
      <c r="C58" s="8"/>
      <c r="D58" s="8"/>
      <c r="E58" s="21"/>
      <c r="F58" s="64"/>
      <c r="G58" s="8"/>
      <c r="H58" s="8"/>
      <c r="I58" s="10"/>
      <c r="J58" s="10"/>
      <c r="K58" s="9"/>
      <c r="L58" s="9"/>
      <c r="M58" s="9"/>
      <c r="N58"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58" s="9"/>
      <c r="P58" s="9"/>
      <c r="Q58" s="8"/>
      <c r="R58" s="38"/>
      <c r="S58" s="38"/>
      <c r="T58" s="38"/>
      <c r="U58" s="38"/>
      <c r="V58" s="38"/>
      <c r="W58" s="38"/>
      <c r="X58" s="38"/>
      <c r="Y58"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58" s="38"/>
      <c r="AA58"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58" s="8"/>
      <c r="AC58" s="203"/>
      <c r="AD58"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58"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58" s="503"/>
      <c r="AG58" s="44"/>
      <c r="AH58" s="189" t="str">
        <f>IF(COUNTA(CCTSAS[[#This Row],[N°]:[heures annuelles
selon contrat(s)]])=0,"",REVEX!$E$9)</f>
        <v/>
      </c>
      <c r="AI58" s="73" t="str">
        <f>IF(CCTSAS[[#This Row],[Allocation fonctions]]="","",IF(ISNA(VLOOKUP(CCTSAS[[#This Row],[Allocation fonctions]],'Variable et Dropdowns'!H53:H69,1,FALSE))=TRUE,"Veuillez utiliser les allocations parmis la liste déroulante.",""))</f>
        <v/>
      </c>
    </row>
    <row r="59" spans="1:35" x14ac:dyDescent="0.25">
      <c r="A59" s="73" t="str">
        <f>IF(CCTSAS[[#This Row],[Carrière]]="","",IF(ISNA(VLOOKUP(CCTSAS[[#This Row],[Carrière]],DROPDOWN[Dropdown9],1,FALSE))=TRUE,"Carrière: Utiliser la liste déroulante",""))</f>
        <v/>
      </c>
      <c r="B59" s="8"/>
      <c r="C59" s="8"/>
      <c r="D59" s="8"/>
      <c r="E59" s="21"/>
      <c r="F59" s="64"/>
      <c r="G59" s="8"/>
      <c r="H59" s="8"/>
      <c r="I59" s="10"/>
      <c r="J59" s="10"/>
      <c r="K59" s="9"/>
      <c r="L59" s="9"/>
      <c r="M59" s="9"/>
      <c r="N59"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59" s="9"/>
      <c r="P59" s="9"/>
      <c r="Q59" s="8"/>
      <c r="R59" s="38"/>
      <c r="S59" s="38"/>
      <c r="T59" s="38"/>
      <c r="U59" s="38"/>
      <c r="V59" s="38"/>
      <c r="W59" s="38"/>
      <c r="X59" s="38"/>
      <c r="Y59"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59" s="38"/>
      <c r="AA59"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59" s="8"/>
      <c r="AC59" s="203"/>
      <c r="AD59"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59"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59" s="503"/>
      <c r="AG59" s="44"/>
      <c r="AH59" s="189" t="str">
        <f>IF(COUNTA(CCTSAS[[#This Row],[N°]:[heures annuelles
selon contrat(s)]])=0,"",REVEX!$E$9)</f>
        <v/>
      </c>
      <c r="AI59" s="73" t="str">
        <f>IF(CCTSAS[[#This Row],[Allocation fonctions]]="","",IF(ISNA(VLOOKUP(CCTSAS[[#This Row],[Allocation fonctions]],'Variable et Dropdowns'!H54:H70,1,FALSE))=TRUE,"Veuillez utiliser les allocations parmis la liste déroulante.",""))</f>
        <v/>
      </c>
    </row>
    <row r="60" spans="1:35" x14ac:dyDescent="0.25">
      <c r="A60" s="73" t="str">
        <f>IF(CCTSAS[[#This Row],[Carrière]]="","",IF(ISNA(VLOOKUP(CCTSAS[[#This Row],[Carrière]],DROPDOWN[Dropdown9],1,FALSE))=TRUE,"Carrière: Utiliser la liste déroulante",""))</f>
        <v/>
      </c>
      <c r="B60" s="8"/>
      <c r="C60" s="8"/>
      <c r="D60" s="8"/>
      <c r="E60" s="21"/>
      <c r="F60" s="64"/>
      <c r="G60" s="8"/>
      <c r="H60" s="8"/>
      <c r="I60" s="10"/>
      <c r="J60" s="10"/>
      <c r="K60" s="9"/>
      <c r="L60" s="9"/>
      <c r="M60" s="9"/>
      <c r="N60"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60" s="9"/>
      <c r="P60" s="9"/>
      <c r="Q60" s="8"/>
      <c r="R60" s="38"/>
      <c r="S60" s="38"/>
      <c r="T60" s="38"/>
      <c r="U60" s="38"/>
      <c r="V60" s="38"/>
      <c r="W60" s="38"/>
      <c r="X60" s="38"/>
      <c r="Y60"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60" s="38"/>
      <c r="AA60"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60" s="8"/>
      <c r="AC60" s="203"/>
      <c r="AD60"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60"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60" s="503"/>
      <c r="AG60" s="44"/>
      <c r="AH60" s="189" t="str">
        <f>IF(COUNTA(CCTSAS[[#This Row],[N°]:[heures annuelles
selon contrat(s)]])=0,"",REVEX!$E$9)</f>
        <v/>
      </c>
      <c r="AI60" s="73" t="str">
        <f>IF(CCTSAS[[#This Row],[Allocation fonctions]]="","",IF(ISNA(VLOOKUP(CCTSAS[[#This Row],[Allocation fonctions]],'Variable et Dropdowns'!H55:H71,1,FALSE))=TRUE,"Veuillez utiliser les allocations parmis la liste déroulante.",""))</f>
        <v/>
      </c>
    </row>
    <row r="61" spans="1:35" x14ac:dyDescent="0.25">
      <c r="A61" s="73" t="str">
        <f>IF(CCTSAS[[#This Row],[Carrière]]="","",IF(ISNA(VLOOKUP(CCTSAS[[#This Row],[Carrière]],DROPDOWN[Dropdown9],1,FALSE))=TRUE,"Carrière: Utiliser la liste déroulante",""))</f>
        <v/>
      </c>
      <c r="B61" s="8"/>
      <c r="C61" s="8"/>
      <c r="D61" s="8"/>
      <c r="E61" s="21"/>
      <c r="F61" s="64"/>
      <c r="G61" s="8"/>
      <c r="H61" s="8"/>
      <c r="I61" s="10"/>
      <c r="J61" s="10"/>
      <c r="K61" s="9"/>
      <c r="L61" s="9"/>
      <c r="M61" s="9"/>
      <c r="N61"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61" s="9"/>
      <c r="P61" s="9"/>
      <c r="Q61" s="8"/>
      <c r="R61" s="38"/>
      <c r="S61" s="38"/>
      <c r="T61" s="38"/>
      <c r="U61" s="38"/>
      <c r="V61" s="38"/>
      <c r="W61" s="38"/>
      <c r="X61" s="38"/>
      <c r="Y61"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61" s="38"/>
      <c r="AA61"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61" s="8"/>
      <c r="AC61" s="203"/>
      <c r="AD61"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61"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61" s="503"/>
      <c r="AG61" s="44"/>
      <c r="AH61" s="189" t="str">
        <f>IF(COUNTA(CCTSAS[[#This Row],[N°]:[heures annuelles
selon contrat(s)]])=0,"",REVEX!$E$9)</f>
        <v/>
      </c>
      <c r="AI61" s="73" t="str">
        <f>IF(CCTSAS[[#This Row],[Allocation fonctions]]="","",IF(ISNA(VLOOKUP(CCTSAS[[#This Row],[Allocation fonctions]],'Variable et Dropdowns'!H56:H72,1,FALSE))=TRUE,"Veuillez utiliser les allocations parmis la liste déroulante.",""))</f>
        <v/>
      </c>
    </row>
    <row r="62" spans="1:35" x14ac:dyDescent="0.25">
      <c r="A62" s="73" t="str">
        <f>IF(CCTSAS[[#This Row],[Carrière]]="","",IF(ISNA(VLOOKUP(CCTSAS[[#This Row],[Carrière]],DROPDOWN[Dropdown9],1,FALSE))=TRUE,"Carrière: Utiliser la liste déroulante",""))</f>
        <v/>
      </c>
      <c r="B62" s="8"/>
      <c r="C62" s="8"/>
      <c r="D62" s="8"/>
      <c r="E62" s="21"/>
      <c r="F62" s="64"/>
      <c r="G62" s="8"/>
      <c r="H62" s="8"/>
      <c r="I62" s="10"/>
      <c r="J62" s="10"/>
      <c r="K62" s="9"/>
      <c r="L62" s="9"/>
      <c r="M62" s="9"/>
      <c r="N62"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62" s="9"/>
      <c r="P62" s="9"/>
      <c r="Q62" s="8"/>
      <c r="R62" s="38"/>
      <c r="S62" s="38"/>
      <c r="T62" s="38"/>
      <c r="U62" s="38"/>
      <c r="V62" s="38"/>
      <c r="W62" s="38"/>
      <c r="X62" s="38"/>
      <c r="Y62"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62" s="38"/>
      <c r="AA62"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62" s="8"/>
      <c r="AC62" s="203"/>
      <c r="AD62"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62"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62" s="503"/>
      <c r="AG62" s="44"/>
      <c r="AH62" s="189" t="str">
        <f>IF(COUNTA(CCTSAS[[#This Row],[N°]:[heures annuelles
selon contrat(s)]])=0,"",REVEX!$E$9)</f>
        <v/>
      </c>
      <c r="AI62" s="73" t="str">
        <f>IF(CCTSAS[[#This Row],[Allocation fonctions]]="","",IF(ISNA(VLOOKUP(CCTSAS[[#This Row],[Allocation fonctions]],'Variable et Dropdowns'!H57:H73,1,FALSE))=TRUE,"Veuillez utiliser les allocations parmis la liste déroulante.",""))</f>
        <v/>
      </c>
    </row>
    <row r="63" spans="1:35" x14ac:dyDescent="0.25">
      <c r="A63" s="73" t="str">
        <f>IF(CCTSAS[[#This Row],[Carrière]]="","",IF(ISNA(VLOOKUP(CCTSAS[[#This Row],[Carrière]],DROPDOWN[Dropdown9],1,FALSE))=TRUE,"Carrière: Utiliser la liste déroulante",""))</f>
        <v/>
      </c>
      <c r="B63" s="8"/>
      <c r="C63" s="8"/>
      <c r="D63" s="8"/>
      <c r="E63" s="21"/>
      <c r="F63" s="64"/>
      <c r="G63" s="8"/>
      <c r="H63" s="8"/>
      <c r="I63" s="10"/>
      <c r="J63" s="10"/>
      <c r="K63" s="9"/>
      <c r="L63" s="9"/>
      <c r="M63" s="9"/>
      <c r="N63"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63" s="9"/>
      <c r="P63" s="9"/>
      <c r="Q63" s="8"/>
      <c r="R63" s="38"/>
      <c r="S63" s="38"/>
      <c r="T63" s="38"/>
      <c r="U63" s="38"/>
      <c r="V63" s="38"/>
      <c r="W63" s="38"/>
      <c r="X63" s="38"/>
      <c r="Y63"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63" s="38"/>
      <c r="AA63"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63" s="8"/>
      <c r="AC63" s="203"/>
      <c r="AD63"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63"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63" s="503"/>
      <c r="AG63" s="44"/>
      <c r="AH63" s="189" t="str">
        <f>IF(COUNTA(CCTSAS[[#This Row],[N°]:[heures annuelles
selon contrat(s)]])=0,"",REVEX!$E$9)</f>
        <v/>
      </c>
      <c r="AI63" s="73" t="str">
        <f>IF(CCTSAS[[#This Row],[Allocation fonctions]]="","",IF(ISNA(VLOOKUP(CCTSAS[[#This Row],[Allocation fonctions]],'Variable et Dropdowns'!H58:H74,1,FALSE))=TRUE,"Veuillez utiliser les allocations parmis la liste déroulante.",""))</f>
        <v/>
      </c>
    </row>
    <row r="64" spans="1:35" x14ac:dyDescent="0.25">
      <c r="A64" s="73" t="str">
        <f>IF(CCTSAS[[#This Row],[Carrière]]="","",IF(ISNA(VLOOKUP(CCTSAS[[#This Row],[Carrière]],DROPDOWN[Dropdown9],1,FALSE))=TRUE,"Carrière: Utiliser la liste déroulante",""))</f>
        <v/>
      </c>
      <c r="B64" s="8"/>
      <c r="C64" s="8"/>
      <c r="D64" s="8"/>
      <c r="E64" s="21"/>
      <c r="F64" s="64"/>
      <c r="G64" s="8"/>
      <c r="H64" s="8"/>
      <c r="I64" s="10"/>
      <c r="J64" s="10"/>
      <c r="K64" s="9"/>
      <c r="L64" s="9"/>
      <c r="M64" s="9"/>
      <c r="N64"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64" s="9"/>
      <c r="P64" s="9"/>
      <c r="Q64" s="8"/>
      <c r="R64" s="38"/>
      <c r="S64" s="38"/>
      <c r="T64" s="38"/>
      <c r="U64" s="38"/>
      <c r="V64" s="38"/>
      <c r="W64" s="38"/>
      <c r="X64" s="38"/>
      <c r="Y64"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64" s="38"/>
      <c r="AA64"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64" s="8"/>
      <c r="AC64" s="203"/>
      <c r="AD64"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64"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64" s="503"/>
      <c r="AG64" s="44"/>
      <c r="AH64" s="189" t="str">
        <f>IF(COUNTA(CCTSAS[[#This Row],[N°]:[heures annuelles
selon contrat(s)]])=0,"",REVEX!$E$9)</f>
        <v/>
      </c>
      <c r="AI64" s="73" t="str">
        <f>IF(CCTSAS[[#This Row],[Allocation fonctions]]="","",IF(ISNA(VLOOKUP(CCTSAS[[#This Row],[Allocation fonctions]],'Variable et Dropdowns'!H59:H75,1,FALSE))=TRUE,"Veuillez utiliser les allocations parmis la liste déroulante.",""))</f>
        <v/>
      </c>
    </row>
    <row r="65" spans="1:35" x14ac:dyDescent="0.25">
      <c r="A65" s="73" t="str">
        <f>IF(CCTSAS[[#This Row],[Carrière]]="","",IF(ISNA(VLOOKUP(CCTSAS[[#This Row],[Carrière]],DROPDOWN[Dropdown9],1,FALSE))=TRUE,"Carrière: Utiliser la liste déroulante",""))</f>
        <v/>
      </c>
      <c r="B65" s="8"/>
      <c r="C65" s="8"/>
      <c r="D65" s="8"/>
      <c r="E65" s="21"/>
      <c r="F65" s="64"/>
      <c r="G65" s="8"/>
      <c r="H65" s="8"/>
      <c r="I65" s="10"/>
      <c r="J65" s="10"/>
      <c r="K65" s="9"/>
      <c r="L65" s="9"/>
      <c r="M65" s="9"/>
      <c r="N65"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65" s="9"/>
      <c r="P65" s="9"/>
      <c r="Q65" s="8"/>
      <c r="R65" s="38"/>
      <c r="S65" s="38"/>
      <c r="T65" s="38"/>
      <c r="U65" s="38"/>
      <c r="V65" s="38"/>
      <c r="W65" s="38"/>
      <c r="X65" s="38"/>
      <c r="Y65"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65" s="38"/>
      <c r="AA65"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65" s="8"/>
      <c r="AC65" s="203"/>
      <c r="AD65"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65"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65" s="503"/>
      <c r="AG65" s="44"/>
      <c r="AH65" s="189" t="str">
        <f>IF(COUNTA(CCTSAS[[#This Row],[N°]:[heures annuelles
selon contrat(s)]])=0,"",REVEX!$E$9)</f>
        <v/>
      </c>
      <c r="AI65" s="73" t="str">
        <f>IF(CCTSAS[[#This Row],[Allocation fonctions]]="","",IF(ISNA(VLOOKUP(CCTSAS[[#This Row],[Allocation fonctions]],'Variable et Dropdowns'!H60:H76,1,FALSE))=TRUE,"Veuillez utiliser les allocations parmis la liste déroulante.",""))</f>
        <v/>
      </c>
    </row>
    <row r="66" spans="1:35" x14ac:dyDescent="0.25">
      <c r="A66" s="73" t="str">
        <f>IF(CCTSAS[[#This Row],[Carrière]]="","",IF(ISNA(VLOOKUP(CCTSAS[[#This Row],[Carrière]],DROPDOWN[Dropdown9],1,FALSE))=TRUE,"Carrière: Utiliser la liste déroulante",""))</f>
        <v/>
      </c>
      <c r="B66" s="8"/>
      <c r="C66" s="8"/>
      <c r="D66" s="8"/>
      <c r="E66" s="21"/>
      <c r="F66" s="64"/>
      <c r="G66" s="8"/>
      <c r="H66" s="8"/>
      <c r="I66" s="10"/>
      <c r="J66" s="10"/>
      <c r="K66" s="9"/>
      <c r="L66" s="9"/>
      <c r="M66" s="9"/>
      <c r="N66"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66" s="9"/>
      <c r="P66" s="9"/>
      <c r="Q66" s="8"/>
      <c r="R66" s="38"/>
      <c r="S66" s="38"/>
      <c r="T66" s="38"/>
      <c r="U66" s="38"/>
      <c r="V66" s="38"/>
      <c r="W66" s="38"/>
      <c r="X66" s="38"/>
      <c r="Y66"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66" s="38"/>
      <c r="AA66"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66" s="8"/>
      <c r="AC66" s="203"/>
      <c r="AD66"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66"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66" s="503"/>
      <c r="AG66" s="44"/>
      <c r="AH66" s="189" t="str">
        <f>IF(COUNTA(CCTSAS[[#This Row],[N°]:[heures annuelles
selon contrat(s)]])=0,"",REVEX!$E$9)</f>
        <v/>
      </c>
      <c r="AI66" s="73" t="str">
        <f>IF(CCTSAS[[#This Row],[Allocation fonctions]]="","",IF(ISNA(VLOOKUP(CCTSAS[[#This Row],[Allocation fonctions]],'Variable et Dropdowns'!H61:H77,1,FALSE))=TRUE,"Veuillez utiliser les allocations parmis la liste déroulante.",""))</f>
        <v/>
      </c>
    </row>
    <row r="67" spans="1:35" x14ac:dyDescent="0.25">
      <c r="A67" s="73" t="str">
        <f>IF(CCTSAS[[#This Row],[Carrière]]="","",IF(ISNA(VLOOKUP(CCTSAS[[#This Row],[Carrière]],DROPDOWN[Dropdown9],1,FALSE))=TRUE,"Carrière: Utiliser la liste déroulante",""))</f>
        <v/>
      </c>
      <c r="B67" s="8"/>
      <c r="C67" s="8"/>
      <c r="D67" s="8"/>
      <c r="E67" s="21"/>
      <c r="F67" s="64"/>
      <c r="G67" s="8"/>
      <c r="H67" s="8"/>
      <c r="I67" s="10"/>
      <c r="J67" s="10"/>
      <c r="K67" s="9"/>
      <c r="L67" s="9"/>
      <c r="M67" s="9"/>
      <c r="N67"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67" s="9"/>
      <c r="P67" s="9"/>
      <c r="Q67" s="8"/>
      <c r="R67" s="38"/>
      <c r="S67" s="38"/>
      <c r="T67" s="38"/>
      <c r="U67" s="38"/>
      <c r="V67" s="38"/>
      <c r="W67" s="38"/>
      <c r="X67" s="38"/>
      <c r="Y67"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67" s="38"/>
      <c r="AA67"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67" s="8"/>
      <c r="AC67" s="202"/>
      <c r="AD67"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67"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67" s="503"/>
      <c r="AG67" s="44"/>
      <c r="AH67" s="189" t="str">
        <f>IF(COUNTA(CCTSAS[[#This Row],[N°]:[heures annuelles
selon contrat(s)]])=0,"",REVEX!$E$9)</f>
        <v/>
      </c>
      <c r="AI67" s="73" t="str">
        <f>IF(CCTSAS[[#This Row],[Allocation fonctions]]="","",IF(ISNA(VLOOKUP(CCTSAS[[#This Row],[Allocation fonctions]],'Variable et Dropdowns'!H62:H78,1,FALSE))=TRUE,"Veuillez utiliser les allocations parmis la liste déroulante.",""))</f>
        <v/>
      </c>
    </row>
    <row r="68" spans="1:35" x14ac:dyDescent="0.25">
      <c r="A68" s="73" t="str">
        <f>IF(CCTSAS[[#This Row],[Carrière]]="","",IF(ISNA(VLOOKUP(CCTSAS[[#This Row],[Carrière]],DROPDOWN[Dropdown9],1,FALSE))=TRUE,"Carrière: Utiliser la liste déroulante",""))</f>
        <v/>
      </c>
      <c r="B68" s="8"/>
      <c r="C68" s="8"/>
      <c r="D68" s="8"/>
      <c r="E68" s="21"/>
      <c r="F68" s="64"/>
      <c r="G68" s="8"/>
      <c r="H68" s="8"/>
      <c r="I68" s="10"/>
      <c r="J68" s="10"/>
      <c r="K68" s="9"/>
      <c r="L68" s="9"/>
      <c r="M68" s="9"/>
      <c r="N68"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68" s="9"/>
      <c r="P68" s="9"/>
      <c r="Q68" s="8"/>
      <c r="R68" s="38"/>
      <c r="S68" s="38"/>
      <c r="T68" s="38"/>
      <c r="U68" s="38"/>
      <c r="V68" s="38"/>
      <c r="W68" s="38"/>
      <c r="X68" s="38"/>
      <c r="Y68"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68" s="38"/>
      <c r="AA68"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68" s="8"/>
      <c r="AC68" s="203"/>
      <c r="AD68"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68"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68" s="503"/>
      <c r="AG68" s="44"/>
      <c r="AH68" s="189" t="str">
        <f>IF(COUNTA(CCTSAS[[#This Row],[N°]:[heures annuelles
selon contrat(s)]])=0,"",REVEX!$E$9)</f>
        <v/>
      </c>
      <c r="AI68" s="73" t="str">
        <f>IF(CCTSAS[[#This Row],[Allocation fonctions]]="","",IF(ISNA(VLOOKUP(CCTSAS[[#This Row],[Allocation fonctions]],'Variable et Dropdowns'!H63:H79,1,FALSE))=TRUE,"Veuillez utiliser les allocations parmis la liste déroulante.",""))</f>
        <v/>
      </c>
    </row>
    <row r="69" spans="1:35" x14ac:dyDescent="0.25">
      <c r="A69" s="73" t="str">
        <f>IF(CCTSAS[[#This Row],[Carrière]]="","",IF(ISNA(VLOOKUP(CCTSAS[[#This Row],[Carrière]],DROPDOWN[Dropdown9],1,FALSE))=TRUE,"Carrière: Utiliser la liste déroulante",""))</f>
        <v/>
      </c>
      <c r="B69" s="8"/>
      <c r="C69" s="8"/>
      <c r="D69" s="8"/>
      <c r="E69" s="21"/>
      <c r="F69" s="64"/>
      <c r="G69" s="8"/>
      <c r="H69" s="8"/>
      <c r="I69" s="10"/>
      <c r="J69" s="10"/>
      <c r="K69" s="9"/>
      <c r="L69" s="9"/>
      <c r="M69" s="9"/>
      <c r="N69"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69" s="9"/>
      <c r="P69" s="9"/>
      <c r="Q69" s="8"/>
      <c r="R69" s="38"/>
      <c r="S69" s="38"/>
      <c r="T69" s="38"/>
      <c r="U69" s="38"/>
      <c r="V69" s="38"/>
      <c r="W69" s="38"/>
      <c r="X69" s="38"/>
      <c r="Y69"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69" s="38"/>
      <c r="AA69"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69" s="8"/>
      <c r="AC69" s="203"/>
      <c r="AD69"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69"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69" s="503"/>
      <c r="AG69" s="44"/>
      <c r="AH69" s="189" t="str">
        <f>IF(COUNTA(CCTSAS[[#This Row],[N°]:[heures annuelles
selon contrat(s)]])=0,"",REVEX!$E$9)</f>
        <v/>
      </c>
      <c r="AI69" s="73" t="str">
        <f>IF(CCTSAS[[#This Row],[Allocation fonctions]]="","",IF(ISNA(VLOOKUP(CCTSAS[[#This Row],[Allocation fonctions]],'Variable et Dropdowns'!H64:H80,1,FALSE))=TRUE,"Veuillez utiliser les allocations parmis la liste déroulante.",""))</f>
        <v/>
      </c>
    </row>
    <row r="70" spans="1:35" x14ac:dyDescent="0.25">
      <c r="A70" s="73" t="str">
        <f>IF(CCTSAS[[#This Row],[Carrière]]="","",IF(ISNA(VLOOKUP(CCTSAS[[#This Row],[Carrière]],DROPDOWN[Dropdown9],1,FALSE))=TRUE,"Carrière: Utiliser la liste déroulante",""))</f>
        <v/>
      </c>
      <c r="B70" s="8"/>
      <c r="C70" s="8"/>
      <c r="D70" s="8"/>
      <c r="E70" s="21"/>
      <c r="F70" s="64"/>
      <c r="G70" s="8"/>
      <c r="H70" s="8"/>
      <c r="I70" s="10"/>
      <c r="J70" s="10"/>
      <c r="K70" s="9"/>
      <c r="L70" s="9"/>
      <c r="M70" s="9"/>
      <c r="N70"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70" s="9"/>
      <c r="P70" s="9"/>
      <c r="Q70" s="8"/>
      <c r="R70" s="38"/>
      <c r="S70" s="38"/>
      <c r="T70" s="38"/>
      <c r="U70" s="38"/>
      <c r="V70" s="38"/>
      <c r="W70" s="38"/>
      <c r="X70" s="38"/>
      <c r="Y70"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70" s="38"/>
      <c r="AA70"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70" s="8"/>
      <c r="AC70" s="203"/>
      <c r="AD70"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70"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70" s="503"/>
      <c r="AG70" s="44"/>
      <c r="AH70" s="189" t="str">
        <f>IF(COUNTA(CCTSAS[[#This Row],[N°]:[heures annuelles
selon contrat(s)]])=0,"",REVEX!$E$9)</f>
        <v/>
      </c>
      <c r="AI70" s="73" t="str">
        <f>IF(CCTSAS[[#This Row],[Allocation fonctions]]="","",IF(ISNA(VLOOKUP(CCTSAS[[#This Row],[Allocation fonctions]],'Variable et Dropdowns'!H65:H81,1,FALSE))=TRUE,"Veuillez utiliser les allocations parmis la liste déroulante.",""))</f>
        <v/>
      </c>
    </row>
    <row r="71" spans="1:35" x14ac:dyDescent="0.25">
      <c r="A71" s="73" t="str">
        <f>IF(CCTSAS[[#This Row],[Carrière]]="","",IF(ISNA(VLOOKUP(CCTSAS[[#This Row],[Carrière]],DROPDOWN[Dropdown9],1,FALSE))=TRUE,"Carrière: Utiliser la liste déroulante",""))</f>
        <v/>
      </c>
      <c r="B71" s="8"/>
      <c r="C71" s="8"/>
      <c r="D71" s="8"/>
      <c r="E71" s="21"/>
      <c r="F71" s="64"/>
      <c r="G71" s="8"/>
      <c r="H71" s="8"/>
      <c r="I71" s="10"/>
      <c r="J71" s="10"/>
      <c r="K71" s="9"/>
      <c r="L71" s="9"/>
      <c r="M71" s="9"/>
      <c r="N71"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71" s="9"/>
      <c r="P71" s="9"/>
      <c r="Q71" s="8"/>
      <c r="R71" s="38"/>
      <c r="S71" s="38"/>
      <c r="T71" s="38"/>
      <c r="U71" s="38"/>
      <c r="V71" s="38"/>
      <c r="W71" s="38"/>
      <c r="X71" s="38"/>
      <c r="Y71"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71" s="38"/>
      <c r="AA71"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71" s="8"/>
      <c r="AC71" s="203"/>
      <c r="AD71"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71"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71" s="503"/>
      <c r="AG71" s="44"/>
      <c r="AH71" s="189" t="str">
        <f>IF(COUNTA(CCTSAS[[#This Row],[N°]:[heures annuelles
selon contrat(s)]])=0,"",REVEX!$E$9)</f>
        <v/>
      </c>
      <c r="AI71" s="73" t="str">
        <f>IF(CCTSAS[[#This Row],[Allocation fonctions]]="","",IF(ISNA(VLOOKUP(CCTSAS[[#This Row],[Allocation fonctions]],'Variable et Dropdowns'!H66:H82,1,FALSE))=TRUE,"Veuillez utiliser les allocations parmis la liste déroulante.",""))</f>
        <v/>
      </c>
    </row>
    <row r="72" spans="1:35" x14ac:dyDescent="0.25">
      <c r="A72" s="73" t="str">
        <f>IF(CCTSAS[[#This Row],[Carrière]]="","",IF(ISNA(VLOOKUP(CCTSAS[[#This Row],[Carrière]],DROPDOWN[Dropdown9],1,FALSE))=TRUE,"Carrière: Utiliser la liste déroulante",""))</f>
        <v/>
      </c>
      <c r="B72" s="8"/>
      <c r="C72" s="8"/>
      <c r="D72" s="8"/>
      <c r="E72" s="21"/>
      <c r="F72" s="64"/>
      <c r="G72" s="8"/>
      <c r="H72" s="8"/>
      <c r="I72" s="10"/>
      <c r="J72" s="10"/>
      <c r="K72" s="9"/>
      <c r="L72" s="9"/>
      <c r="M72" s="9"/>
      <c r="N72"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72" s="9"/>
      <c r="P72" s="9"/>
      <c r="Q72" s="8"/>
      <c r="R72" s="38"/>
      <c r="S72" s="38"/>
      <c r="T72" s="38"/>
      <c r="U72" s="38"/>
      <c r="V72" s="38"/>
      <c r="W72" s="38"/>
      <c r="X72" s="38"/>
      <c r="Y72"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72" s="38"/>
      <c r="AA72"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72" s="8"/>
      <c r="AC72" s="203"/>
      <c r="AD72"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72"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72" s="503"/>
      <c r="AG72" s="44"/>
      <c r="AH72" s="189" t="str">
        <f>IF(COUNTA(CCTSAS[[#This Row],[N°]:[heures annuelles
selon contrat(s)]])=0,"",REVEX!$E$9)</f>
        <v/>
      </c>
      <c r="AI72" s="73" t="str">
        <f>IF(CCTSAS[[#This Row],[Allocation fonctions]]="","",IF(ISNA(VLOOKUP(CCTSAS[[#This Row],[Allocation fonctions]],'Variable et Dropdowns'!H67:H83,1,FALSE))=TRUE,"Veuillez utiliser les allocations parmis la liste déroulante.",""))</f>
        <v/>
      </c>
    </row>
    <row r="73" spans="1:35" x14ac:dyDescent="0.25">
      <c r="A73" s="73" t="str">
        <f>IF(CCTSAS[[#This Row],[Carrière]]="","",IF(ISNA(VLOOKUP(CCTSAS[[#This Row],[Carrière]],DROPDOWN[Dropdown9],1,FALSE))=TRUE,"Carrière: Utiliser la liste déroulante",""))</f>
        <v/>
      </c>
      <c r="B73" s="8"/>
      <c r="C73" s="8"/>
      <c r="D73" s="8"/>
      <c r="E73" s="21"/>
      <c r="F73" s="64"/>
      <c r="G73" s="8"/>
      <c r="H73" s="8"/>
      <c r="I73" s="10"/>
      <c r="J73" s="10"/>
      <c r="K73" s="9"/>
      <c r="L73" s="9"/>
      <c r="M73" s="9"/>
      <c r="N73"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73" s="9"/>
      <c r="P73" s="9"/>
      <c r="Q73" s="8"/>
      <c r="R73" s="38"/>
      <c r="S73" s="38"/>
      <c r="T73" s="38"/>
      <c r="U73" s="38"/>
      <c r="V73" s="38"/>
      <c r="W73" s="38"/>
      <c r="X73" s="38"/>
      <c r="Y73"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73" s="38"/>
      <c r="AA73"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73" s="8"/>
      <c r="AC73" s="202"/>
      <c r="AD73"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73"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73" s="503"/>
      <c r="AG73" s="44"/>
      <c r="AH73" s="189" t="str">
        <f>IF(COUNTA(CCTSAS[[#This Row],[N°]:[heures annuelles
selon contrat(s)]])=0,"",REVEX!$E$9)</f>
        <v/>
      </c>
      <c r="AI73" s="73" t="str">
        <f>IF(CCTSAS[[#This Row],[Allocation fonctions]]="","",IF(ISNA(VLOOKUP(CCTSAS[[#This Row],[Allocation fonctions]],'Variable et Dropdowns'!H68:H84,1,FALSE))=TRUE,"Veuillez utiliser les allocations parmis la liste déroulante.",""))</f>
        <v/>
      </c>
    </row>
    <row r="74" spans="1:35" x14ac:dyDescent="0.25">
      <c r="A74" s="73" t="str">
        <f>IF(CCTSAS[[#This Row],[Carrière]]="","",IF(ISNA(VLOOKUP(CCTSAS[[#This Row],[Carrière]],DROPDOWN[Dropdown9],1,FALSE))=TRUE,"Carrière: Utiliser la liste déroulante",""))</f>
        <v/>
      </c>
      <c r="B74" s="8"/>
      <c r="C74" s="8"/>
      <c r="D74" s="8"/>
      <c r="E74" s="21"/>
      <c r="F74" s="64"/>
      <c r="G74" s="8"/>
      <c r="H74" s="8"/>
      <c r="I74" s="10"/>
      <c r="J74" s="10"/>
      <c r="K74" s="9"/>
      <c r="L74" s="9"/>
      <c r="M74" s="9"/>
      <c r="N74"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74" s="9"/>
      <c r="P74" s="9"/>
      <c r="Q74" s="8"/>
      <c r="R74" s="38"/>
      <c r="S74" s="38"/>
      <c r="T74" s="38"/>
      <c r="U74" s="38"/>
      <c r="V74" s="38"/>
      <c r="W74" s="38"/>
      <c r="X74" s="38"/>
      <c r="Y74"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74" s="38"/>
      <c r="AA74"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74" s="8"/>
      <c r="AC74" s="202"/>
      <c r="AD74"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74"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74" s="503"/>
      <c r="AG74" s="44"/>
      <c r="AH74" s="189" t="str">
        <f>IF(COUNTA(CCTSAS[[#This Row],[N°]:[heures annuelles
selon contrat(s)]])=0,"",REVEX!$E$9)</f>
        <v/>
      </c>
      <c r="AI74" s="73" t="str">
        <f>IF(CCTSAS[[#This Row],[Allocation fonctions]]="","",IF(ISNA(VLOOKUP(CCTSAS[[#This Row],[Allocation fonctions]],'Variable et Dropdowns'!H69:H85,1,FALSE))=TRUE,"Veuillez utiliser les allocations parmis la liste déroulante.",""))</f>
        <v/>
      </c>
    </row>
    <row r="75" spans="1:35" x14ac:dyDescent="0.25">
      <c r="A75" s="73" t="str">
        <f>IF(CCTSAS[[#This Row],[Carrière]]="","",IF(ISNA(VLOOKUP(CCTSAS[[#This Row],[Carrière]],DROPDOWN[Dropdown9],1,FALSE))=TRUE,"Carrière: Utiliser la liste déroulante",""))</f>
        <v/>
      </c>
      <c r="B75" s="8"/>
      <c r="C75" s="8"/>
      <c r="D75" s="8"/>
      <c r="E75" s="21"/>
      <c r="F75" s="64"/>
      <c r="G75" s="8"/>
      <c r="H75" s="8"/>
      <c r="I75" s="10"/>
      <c r="J75" s="10"/>
      <c r="K75" s="9"/>
      <c r="L75" s="9"/>
      <c r="M75" s="9"/>
      <c r="N75"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75" s="9"/>
      <c r="P75" s="9"/>
      <c r="Q75" s="8"/>
      <c r="R75" s="38"/>
      <c r="S75" s="38"/>
      <c r="T75" s="38"/>
      <c r="U75" s="38"/>
      <c r="V75" s="38"/>
      <c r="W75" s="38"/>
      <c r="X75" s="38"/>
      <c r="Y75"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75" s="38"/>
      <c r="AA75"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75" s="8"/>
      <c r="AC75" s="203"/>
      <c r="AD75"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75"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75" s="503"/>
      <c r="AG75" s="44"/>
      <c r="AH75" s="189" t="str">
        <f>IF(COUNTA(CCTSAS[[#This Row],[N°]:[heures annuelles
selon contrat(s)]])=0,"",REVEX!$E$9)</f>
        <v/>
      </c>
      <c r="AI75" s="73" t="str">
        <f>IF(CCTSAS[[#This Row],[Allocation fonctions]]="","",IF(ISNA(VLOOKUP(CCTSAS[[#This Row],[Allocation fonctions]],'Variable et Dropdowns'!H70:H86,1,FALSE))=TRUE,"Veuillez utiliser les allocations parmis la liste déroulante.",""))</f>
        <v/>
      </c>
    </row>
    <row r="76" spans="1:35" x14ac:dyDescent="0.25">
      <c r="A76" s="73" t="str">
        <f>IF(CCTSAS[[#This Row],[Carrière]]="","",IF(ISNA(VLOOKUP(CCTSAS[[#This Row],[Carrière]],DROPDOWN[Dropdown9],1,FALSE))=TRUE,"Carrière: Utiliser la liste déroulante",""))</f>
        <v/>
      </c>
      <c r="B76" s="8"/>
      <c r="C76" s="8"/>
      <c r="D76" s="8"/>
      <c r="E76" s="21"/>
      <c r="F76" s="64"/>
      <c r="G76" s="8"/>
      <c r="H76" s="8"/>
      <c r="I76" s="10"/>
      <c r="J76" s="10"/>
      <c r="K76" s="9"/>
      <c r="L76" s="9"/>
      <c r="M76" s="9"/>
      <c r="N76"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76" s="9"/>
      <c r="P76" s="9"/>
      <c r="Q76" s="8"/>
      <c r="R76" s="38"/>
      <c r="S76" s="38"/>
      <c r="T76" s="38"/>
      <c r="U76" s="38"/>
      <c r="V76" s="38"/>
      <c r="W76" s="38"/>
      <c r="X76" s="38"/>
      <c r="Y76"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76" s="38"/>
      <c r="AA76"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76" s="8"/>
      <c r="AC76" s="203"/>
      <c r="AD76"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76"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76" s="503"/>
      <c r="AG76" s="44"/>
      <c r="AH76" s="189" t="str">
        <f>IF(COUNTA(CCTSAS[[#This Row],[N°]:[heures annuelles
selon contrat(s)]])=0,"",REVEX!$E$9)</f>
        <v/>
      </c>
      <c r="AI76" s="73" t="str">
        <f>IF(CCTSAS[[#This Row],[Allocation fonctions]]="","",IF(ISNA(VLOOKUP(CCTSAS[[#This Row],[Allocation fonctions]],'Variable et Dropdowns'!H71:H87,1,FALSE))=TRUE,"Veuillez utiliser les allocations parmis la liste déroulante.",""))</f>
        <v/>
      </c>
    </row>
    <row r="77" spans="1:35" x14ac:dyDescent="0.25">
      <c r="A77" s="73" t="str">
        <f>IF(CCTSAS[[#This Row],[Carrière]]="","",IF(ISNA(VLOOKUP(CCTSAS[[#This Row],[Carrière]],DROPDOWN[Dropdown9],1,FALSE))=TRUE,"Carrière: Utiliser la liste déroulante",""))</f>
        <v/>
      </c>
      <c r="B77" s="8"/>
      <c r="C77" s="8"/>
      <c r="D77" s="8"/>
      <c r="E77" s="21"/>
      <c r="F77" s="64"/>
      <c r="G77" s="8"/>
      <c r="H77" s="8"/>
      <c r="I77" s="10"/>
      <c r="J77" s="10"/>
      <c r="K77" s="9"/>
      <c r="L77" s="9"/>
      <c r="M77" s="9"/>
      <c r="N77"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77" s="9"/>
      <c r="P77" s="9"/>
      <c r="Q77" s="8"/>
      <c r="R77" s="38"/>
      <c r="S77" s="38"/>
      <c r="T77" s="38"/>
      <c r="U77" s="38"/>
      <c r="V77" s="38"/>
      <c r="W77" s="38"/>
      <c r="X77" s="38"/>
      <c r="Y77"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77" s="38"/>
      <c r="AA77"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77" s="8"/>
      <c r="AC77" s="203"/>
      <c r="AD77"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77"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77" s="503"/>
      <c r="AG77" s="44"/>
      <c r="AH77" s="189" t="str">
        <f>IF(COUNTA(CCTSAS[[#This Row],[N°]:[heures annuelles
selon contrat(s)]])=0,"",REVEX!$E$9)</f>
        <v/>
      </c>
      <c r="AI77" s="73" t="str">
        <f>IF(CCTSAS[[#This Row],[Allocation fonctions]]="","",IF(ISNA(VLOOKUP(CCTSAS[[#This Row],[Allocation fonctions]],'Variable et Dropdowns'!H72:H88,1,FALSE))=TRUE,"Veuillez utiliser les allocations parmis la liste déroulante.",""))</f>
        <v/>
      </c>
    </row>
    <row r="78" spans="1:35" x14ac:dyDescent="0.25">
      <c r="A78" s="73" t="str">
        <f>IF(CCTSAS[[#This Row],[Carrière]]="","",IF(ISNA(VLOOKUP(CCTSAS[[#This Row],[Carrière]],DROPDOWN[Dropdown9],1,FALSE))=TRUE,"Carrière: Utiliser la liste déroulante",""))</f>
        <v/>
      </c>
      <c r="B78" s="8"/>
      <c r="C78" s="8"/>
      <c r="D78" s="8"/>
      <c r="E78" s="21"/>
      <c r="F78" s="64"/>
      <c r="G78" s="8"/>
      <c r="H78" s="8"/>
      <c r="I78" s="10"/>
      <c r="J78" s="10"/>
      <c r="K78" s="9"/>
      <c r="L78" s="9"/>
      <c r="M78" s="9"/>
      <c r="N78"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78" s="9"/>
      <c r="P78" s="9"/>
      <c r="Q78" s="8"/>
      <c r="R78" s="38"/>
      <c r="S78" s="38"/>
      <c r="T78" s="38"/>
      <c r="U78" s="38"/>
      <c r="V78" s="38"/>
      <c r="W78" s="38"/>
      <c r="X78" s="38"/>
      <c r="Y78"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78" s="38"/>
      <c r="AA78"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78" s="8"/>
      <c r="AC78" s="203"/>
      <c r="AD78"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78"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78" s="503"/>
      <c r="AG78" s="44"/>
      <c r="AH78" s="189" t="str">
        <f>IF(COUNTA(CCTSAS[[#This Row],[N°]:[heures annuelles
selon contrat(s)]])=0,"",REVEX!$E$9)</f>
        <v/>
      </c>
      <c r="AI78" s="73" t="str">
        <f>IF(CCTSAS[[#This Row],[Allocation fonctions]]="","",IF(ISNA(VLOOKUP(CCTSAS[[#This Row],[Allocation fonctions]],'Variable et Dropdowns'!H73:H89,1,FALSE))=TRUE,"Veuillez utiliser les allocations parmis la liste déroulante.",""))</f>
        <v/>
      </c>
    </row>
    <row r="79" spans="1:35" x14ac:dyDescent="0.25">
      <c r="A79" s="73" t="str">
        <f>IF(CCTSAS[[#This Row],[Carrière]]="","",IF(ISNA(VLOOKUP(CCTSAS[[#This Row],[Carrière]],DROPDOWN[Dropdown9],1,FALSE))=TRUE,"Carrière: Utiliser la liste déroulante",""))</f>
        <v/>
      </c>
      <c r="B79" s="8"/>
      <c r="C79" s="8"/>
      <c r="D79" s="8"/>
      <c r="E79" s="21"/>
      <c r="F79" s="64"/>
      <c r="G79" s="8"/>
      <c r="H79" s="8"/>
      <c r="I79" s="10"/>
      <c r="J79" s="10"/>
      <c r="K79" s="9"/>
      <c r="L79" s="9"/>
      <c r="M79" s="9"/>
      <c r="N79"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79" s="9"/>
      <c r="P79" s="9"/>
      <c r="Q79" s="8"/>
      <c r="R79" s="38"/>
      <c r="S79" s="38"/>
      <c r="T79" s="38"/>
      <c r="U79" s="38"/>
      <c r="V79" s="38"/>
      <c r="W79" s="38"/>
      <c r="X79" s="38"/>
      <c r="Y79"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79" s="38"/>
      <c r="AA79"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79" s="8"/>
      <c r="AC79" s="203"/>
      <c r="AD79"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79"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79" s="503"/>
      <c r="AG79" s="44"/>
      <c r="AH79" s="189" t="str">
        <f>IF(COUNTA(CCTSAS[[#This Row],[N°]:[heures annuelles
selon contrat(s)]])=0,"",REVEX!$E$9)</f>
        <v/>
      </c>
      <c r="AI79" s="73" t="str">
        <f>IF(CCTSAS[[#This Row],[Allocation fonctions]]="","",IF(ISNA(VLOOKUP(CCTSAS[[#This Row],[Allocation fonctions]],'Variable et Dropdowns'!H74:H90,1,FALSE))=TRUE,"Veuillez utiliser les allocations parmis la liste déroulante.",""))</f>
        <v/>
      </c>
    </row>
    <row r="80" spans="1:35" x14ac:dyDescent="0.25">
      <c r="A80" s="73" t="str">
        <f>IF(CCTSAS[[#This Row],[Carrière]]="","",IF(ISNA(VLOOKUP(CCTSAS[[#This Row],[Carrière]],DROPDOWN[Dropdown9],1,FALSE))=TRUE,"Carrière: Utiliser la liste déroulante",""))</f>
        <v/>
      </c>
      <c r="B80" s="8"/>
      <c r="C80" s="8"/>
      <c r="D80" s="8"/>
      <c r="E80" s="21"/>
      <c r="F80" s="64"/>
      <c r="G80" s="8"/>
      <c r="H80" s="8"/>
      <c r="I80" s="10"/>
      <c r="J80" s="10"/>
      <c r="K80" s="9"/>
      <c r="L80" s="9"/>
      <c r="M80" s="9"/>
      <c r="N80"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80" s="9"/>
      <c r="P80" s="9"/>
      <c r="Q80" s="8"/>
      <c r="R80" s="38"/>
      <c r="S80" s="38"/>
      <c r="T80" s="38"/>
      <c r="U80" s="38"/>
      <c r="V80" s="38"/>
      <c r="W80" s="38"/>
      <c r="X80" s="38"/>
      <c r="Y80"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80" s="38"/>
      <c r="AA80"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80" s="8"/>
      <c r="AC80" s="203"/>
      <c r="AD80"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80"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80" s="503"/>
      <c r="AG80" s="44"/>
      <c r="AH80" s="189" t="str">
        <f>IF(COUNTA(CCTSAS[[#This Row],[N°]:[heures annuelles
selon contrat(s)]])=0,"",REVEX!$E$9)</f>
        <v/>
      </c>
      <c r="AI80" s="73" t="str">
        <f>IF(CCTSAS[[#This Row],[Allocation fonctions]]="","",IF(ISNA(VLOOKUP(CCTSAS[[#This Row],[Allocation fonctions]],'Variable et Dropdowns'!H75:H91,1,FALSE))=TRUE,"Veuillez utiliser les allocations parmis la liste déroulante.",""))</f>
        <v/>
      </c>
    </row>
    <row r="81" spans="1:35" x14ac:dyDescent="0.25">
      <c r="A81" s="73" t="str">
        <f>IF(CCTSAS[[#This Row],[Carrière]]="","",IF(ISNA(VLOOKUP(CCTSAS[[#This Row],[Carrière]],DROPDOWN[Dropdown9],1,FALSE))=TRUE,"Carrière: Utiliser la liste déroulante",""))</f>
        <v/>
      </c>
      <c r="B81" s="8"/>
      <c r="C81" s="8"/>
      <c r="D81" s="8"/>
      <c r="E81" s="21"/>
      <c r="F81" s="64"/>
      <c r="G81" s="8"/>
      <c r="H81" s="8"/>
      <c r="I81" s="10"/>
      <c r="J81" s="10"/>
      <c r="K81" s="9"/>
      <c r="L81" s="9"/>
      <c r="M81" s="9"/>
      <c r="N81"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81" s="9"/>
      <c r="P81" s="9"/>
      <c r="Q81" s="8"/>
      <c r="R81" s="38"/>
      <c r="S81" s="38"/>
      <c r="T81" s="38"/>
      <c r="U81" s="38"/>
      <c r="V81" s="38"/>
      <c r="W81" s="38"/>
      <c r="X81" s="38"/>
      <c r="Y81"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81" s="38"/>
      <c r="AA81"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81" s="8"/>
      <c r="AC81" s="203"/>
      <c r="AD81"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81"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81" s="503"/>
      <c r="AG81" s="44"/>
      <c r="AH81" s="189" t="str">
        <f>IF(COUNTA(CCTSAS[[#This Row],[N°]:[heures annuelles
selon contrat(s)]])=0,"",REVEX!$E$9)</f>
        <v/>
      </c>
      <c r="AI81" s="73" t="str">
        <f>IF(CCTSAS[[#This Row],[Allocation fonctions]]="","",IF(ISNA(VLOOKUP(CCTSAS[[#This Row],[Allocation fonctions]],'Variable et Dropdowns'!H76:H92,1,FALSE))=TRUE,"Veuillez utiliser les allocations parmis la liste déroulante.",""))</f>
        <v/>
      </c>
    </row>
    <row r="82" spans="1:35" x14ac:dyDescent="0.25">
      <c r="A82" s="73" t="str">
        <f>IF(CCTSAS[[#This Row],[Carrière]]="","",IF(ISNA(VLOOKUP(CCTSAS[[#This Row],[Carrière]],DROPDOWN[Dropdown9],1,FALSE))=TRUE,"Carrière: Utiliser la liste déroulante",""))</f>
        <v/>
      </c>
      <c r="B82" s="8"/>
      <c r="C82" s="8"/>
      <c r="D82" s="8"/>
      <c r="E82" s="21"/>
      <c r="F82" s="64"/>
      <c r="G82" s="8"/>
      <c r="H82" s="8"/>
      <c r="I82" s="10"/>
      <c r="J82" s="10"/>
      <c r="K82" s="9"/>
      <c r="L82" s="9"/>
      <c r="M82" s="9"/>
      <c r="N82"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82" s="9"/>
      <c r="P82" s="9"/>
      <c r="Q82" s="8"/>
      <c r="R82" s="38"/>
      <c r="S82" s="38"/>
      <c r="T82" s="38"/>
      <c r="U82" s="38"/>
      <c r="V82" s="38"/>
      <c r="W82" s="38"/>
      <c r="X82" s="38"/>
      <c r="Y82"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82" s="38"/>
      <c r="AA82"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82" s="8"/>
      <c r="AC82" s="203"/>
      <c r="AD82"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82"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82" s="503"/>
      <c r="AG82" s="44"/>
      <c r="AH82" s="189" t="str">
        <f>IF(COUNTA(CCTSAS[[#This Row],[N°]:[heures annuelles
selon contrat(s)]])=0,"",REVEX!$E$9)</f>
        <v/>
      </c>
      <c r="AI82" s="73" t="str">
        <f>IF(CCTSAS[[#This Row],[Allocation fonctions]]="","",IF(ISNA(VLOOKUP(CCTSAS[[#This Row],[Allocation fonctions]],'Variable et Dropdowns'!H77:H93,1,FALSE))=TRUE,"Veuillez utiliser les allocations parmis la liste déroulante.",""))</f>
        <v/>
      </c>
    </row>
    <row r="83" spans="1:35" x14ac:dyDescent="0.25">
      <c r="A83" s="73" t="str">
        <f>IF(CCTSAS[[#This Row],[Carrière]]="","",IF(ISNA(VLOOKUP(CCTSAS[[#This Row],[Carrière]],DROPDOWN[Dropdown9],1,FALSE))=TRUE,"Carrière: Utiliser la liste déroulante",""))</f>
        <v/>
      </c>
      <c r="B83" s="8"/>
      <c r="C83" s="8"/>
      <c r="D83" s="8"/>
      <c r="E83" s="21"/>
      <c r="F83" s="64"/>
      <c r="G83" s="8"/>
      <c r="H83" s="8"/>
      <c r="I83" s="10"/>
      <c r="J83" s="10"/>
      <c r="K83" s="9"/>
      <c r="L83" s="9"/>
      <c r="M83" s="9"/>
      <c r="N83"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83" s="9"/>
      <c r="P83" s="9"/>
      <c r="Q83" s="8"/>
      <c r="R83" s="38"/>
      <c r="S83" s="38"/>
      <c r="T83" s="38"/>
      <c r="U83" s="38"/>
      <c r="V83" s="38"/>
      <c r="W83" s="38"/>
      <c r="X83" s="38"/>
      <c r="Y83"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83" s="38"/>
      <c r="AA83"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83" s="8"/>
      <c r="AC83" s="203"/>
      <c r="AD83"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83"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83" s="503"/>
      <c r="AG83" s="44"/>
      <c r="AH83" s="189" t="str">
        <f>IF(COUNTA(CCTSAS[[#This Row],[N°]:[heures annuelles
selon contrat(s)]])=0,"",REVEX!$E$9)</f>
        <v/>
      </c>
      <c r="AI83" s="73" t="str">
        <f>IF(CCTSAS[[#This Row],[Allocation fonctions]]="","",IF(ISNA(VLOOKUP(CCTSAS[[#This Row],[Allocation fonctions]],'Variable et Dropdowns'!H78:H94,1,FALSE))=TRUE,"Veuillez utiliser les allocations parmis la liste déroulante.",""))</f>
        <v/>
      </c>
    </row>
    <row r="84" spans="1:35" x14ac:dyDescent="0.25">
      <c r="A84" s="73" t="str">
        <f>IF(CCTSAS[[#This Row],[Carrière]]="","",IF(ISNA(VLOOKUP(CCTSAS[[#This Row],[Carrière]],DROPDOWN[Dropdown9],1,FALSE))=TRUE,"Carrière: Utiliser la liste déroulante",""))</f>
        <v/>
      </c>
      <c r="B84" s="8"/>
      <c r="C84" s="8"/>
      <c r="D84" s="8"/>
      <c r="E84" s="21"/>
      <c r="F84" s="64"/>
      <c r="G84" s="8"/>
      <c r="H84" s="8"/>
      <c r="I84" s="10"/>
      <c r="J84" s="10"/>
      <c r="K84" s="9"/>
      <c r="L84" s="9"/>
      <c r="M84" s="9"/>
      <c r="N84"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84" s="9"/>
      <c r="P84" s="9"/>
      <c r="Q84" s="8"/>
      <c r="R84" s="38"/>
      <c r="S84" s="38"/>
      <c r="T84" s="38"/>
      <c r="U84" s="38"/>
      <c r="V84" s="38"/>
      <c r="W84" s="38"/>
      <c r="X84" s="38"/>
      <c r="Y84"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84" s="38"/>
      <c r="AA84"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84" s="8"/>
      <c r="AC84" s="203"/>
      <c r="AD84"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84"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84" s="503"/>
      <c r="AG84" s="44"/>
      <c r="AH84" s="189" t="str">
        <f>IF(COUNTA(CCTSAS[[#This Row],[N°]:[heures annuelles
selon contrat(s)]])=0,"",REVEX!$E$9)</f>
        <v/>
      </c>
      <c r="AI84" s="73" t="str">
        <f>IF(CCTSAS[[#This Row],[Allocation fonctions]]="","",IF(ISNA(VLOOKUP(CCTSAS[[#This Row],[Allocation fonctions]],'Variable et Dropdowns'!H79:H95,1,FALSE))=TRUE,"Veuillez utiliser les allocations parmis la liste déroulante.",""))</f>
        <v/>
      </c>
    </row>
    <row r="85" spans="1:35" x14ac:dyDescent="0.25">
      <c r="A85" s="73" t="str">
        <f>IF(CCTSAS[[#This Row],[Carrière]]="","",IF(ISNA(VLOOKUP(CCTSAS[[#This Row],[Carrière]],DROPDOWN[Dropdown9],1,FALSE))=TRUE,"Carrière: Utiliser la liste déroulante",""))</f>
        <v/>
      </c>
      <c r="B85" s="8"/>
      <c r="C85" s="8"/>
      <c r="D85" s="8"/>
      <c r="E85" s="21"/>
      <c r="F85" s="64"/>
      <c r="G85" s="8"/>
      <c r="H85" s="8"/>
      <c r="I85" s="10"/>
      <c r="J85" s="10"/>
      <c r="K85" s="9"/>
      <c r="L85" s="9"/>
      <c r="M85" s="9"/>
      <c r="N85"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85" s="9"/>
      <c r="P85" s="9"/>
      <c r="Q85" s="8"/>
      <c r="R85" s="38"/>
      <c r="S85" s="38"/>
      <c r="T85" s="38"/>
      <c r="U85" s="38"/>
      <c r="V85" s="38"/>
      <c r="W85" s="38"/>
      <c r="X85" s="38"/>
      <c r="Y85"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85" s="38"/>
      <c r="AA85"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85" s="8"/>
      <c r="AC85" s="203"/>
      <c r="AD85"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85"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85" s="503"/>
      <c r="AG85" s="44"/>
      <c r="AH85" s="189" t="str">
        <f>IF(COUNTA(CCTSAS[[#This Row],[N°]:[heures annuelles
selon contrat(s)]])=0,"",REVEX!$E$9)</f>
        <v/>
      </c>
      <c r="AI85" s="73" t="str">
        <f>IF(CCTSAS[[#This Row],[Allocation fonctions]]="","",IF(ISNA(VLOOKUP(CCTSAS[[#This Row],[Allocation fonctions]],'Variable et Dropdowns'!H80:H96,1,FALSE))=TRUE,"Veuillez utiliser les allocations parmis la liste déroulante.",""))</f>
        <v/>
      </c>
    </row>
    <row r="86" spans="1:35" x14ac:dyDescent="0.25">
      <c r="A86" s="73" t="str">
        <f>IF(CCTSAS[[#This Row],[Carrière]]="","",IF(ISNA(VLOOKUP(CCTSAS[[#This Row],[Carrière]],DROPDOWN[Dropdown9],1,FALSE))=TRUE,"Carrière: Utiliser la liste déroulante",""))</f>
        <v/>
      </c>
      <c r="B86" s="8"/>
      <c r="C86" s="8"/>
      <c r="D86" s="8"/>
      <c r="E86" s="21"/>
      <c r="F86" s="64"/>
      <c r="G86" s="8"/>
      <c r="H86" s="8"/>
      <c r="I86" s="10"/>
      <c r="J86" s="10"/>
      <c r="K86" s="9"/>
      <c r="L86" s="9"/>
      <c r="M86" s="9"/>
      <c r="N86"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86" s="9"/>
      <c r="P86" s="9"/>
      <c r="Q86" s="8"/>
      <c r="R86" s="38"/>
      <c r="S86" s="38"/>
      <c r="T86" s="38"/>
      <c r="U86" s="38"/>
      <c r="V86" s="38"/>
      <c r="W86" s="38"/>
      <c r="X86" s="38"/>
      <c r="Y86"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86" s="38"/>
      <c r="AA86"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86" s="8"/>
      <c r="AC86" s="203"/>
      <c r="AD86"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86"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86" s="503"/>
      <c r="AG86" s="44"/>
      <c r="AH86" s="189" t="str">
        <f>IF(COUNTA(CCTSAS[[#This Row],[N°]:[heures annuelles
selon contrat(s)]])=0,"",REVEX!$E$9)</f>
        <v/>
      </c>
      <c r="AI86" s="73" t="str">
        <f>IF(CCTSAS[[#This Row],[Allocation fonctions]]="","",IF(ISNA(VLOOKUP(CCTSAS[[#This Row],[Allocation fonctions]],'Variable et Dropdowns'!H81:H97,1,FALSE))=TRUE,"Veuillez utiliser les allocations parmis la liste déroulante.",""))</f>
        <v/>
      </c>
    </row>
    <row r="87" spans="1:35" x14ac:dyDescent="0.25">
      <c r="A87" s="73" t="str">
        <f>IF(CCTSAS[[#This Row],[Carrière]]="","",IF(ISNA(VLOOKUP(CCTSAS[[#This Row],[Carrière]],DROPDOWN[Dropdown9],1,FALSE))=TRUE,"Carrière: Utiliser la liste déroulante",""))</f>
        <v/>
      </c>
      <c r="B87" s="8"/>
      <c r="C87" s="8"/>
      <c r="D87" s="8"/>
      <c r="E87" s="21"/>
      <c r="F87" s="64"/>
      <c r="G87" s="8"/>
      <c r="H87" s="8"/>
      <c r="I87" s="10"/>
      <c r="J87" s="10"/>
      <c r="K87" s="9"/>
      <c r="L87" s="9"/>
      <c r="M87" s="9"/>
      <c r="N87"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87" s="9"/>
      <c r="P87" s="9"/>
      <c r="Q87" s="8"/>
      <c r="R87" s="38"/>
      <c r="S87" s="38"/>
      <c r="T87" s="38"/>
      <c r="U87" s="38"/>
      <c r="V87" s="38"/>
      <c r="W87" s="38"/>
      <c r="X87" s="38"/>
      <c r="Y87"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87" s="38"/>
      <c r="AA87"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87" s="8"/>
      <c r="AC87" s="203"/>
      <c r="AD87"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87"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87" s="503"/>
      <c r="AG87" s="44"/>
      <c r="AH87" s="189" t="str">
        <f>IF(COUNTA(CCTSAS[[#This Row],[N°]:[heures annuelles
selon contrat(s)]])=0,"",REVEX!$E$9)</f>
        <v/>
      </c>
      <c r="AI87" s="73" t="str">
        <f>IF(CCTSAS[[#This Row],[Allocation fonctions]]="","",IF(ISNA(VLOOKUP(CCTSAS[[#This Row],[Allocation fonctions]],'Variable et Dropdowns'!H82:H98,1,FALSE))=TRUE,"Veuillez utiliser les allocations parmis la liste déroulante.",""))</f>
        <v/>
      </c>
    </row>
    <row r="88" spans="1:35" x14ac:dyDescent="0.25">
      <c r="A88" s="73" t="str">
        <f>IF(CCTSAS[[#This Row],[Carrière]]="","",IF(ISNA(VLOOKUP(CCTSAS[[#This Row],[Carrière]],DROPDOWN[Dropdown9],1,FALSE))=TRUE,"Carrière: Utiliser la liste déroulante",""))</f>
        <v/>
      </c>
      <c r="B88" s="8"/>
      <c r="C88" s="8"/>
      <c r="D88" s="8"/>
      <c r="E88" s="21"/>
      <c r="F88" s="64"/>
      <c r="G88" s="8"/>
      <c r="H88" s="8"/>
      <c r="I88" s="10"/>
      <c r="J88" s="10"/>
      <c r="K88" s="9"/>
      <c r="L88" s="9"/>
      <c r="M88" s="9"/>
      <c r="N88"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88" s="9"/>
      <c r="P88" s="9"/>
      <c r="Q88" s="8"/>
      <c r="R88" s="38"/>
      <c r="S88" s="38"/>
      <c r="T88" s="38"/>
      <c r="U88" s="38"/>
      <c r="V88" s="38"/>
      <c r="W88" s="38"/>
      <c r="X88" s="38"/>
      <c r="Y88"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88" s="38"/>
      <c r="AA88"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88" s="8"/>
      <c r="AC88" s="203"/>
      <c r="AD88"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88"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88" s="503"/>
      <c r="AG88" s="44"/>
      <c r="AH88" s="189" t="str">
        <f>IF(COUNTA(CCTSAS[[#This Row],[N°]:[heures annuelles
selon contrat(s)]])=0,"",REVEX!$E$9)</f>
        <v/>
      </c>
      <c r="AI88" s="73" t="str">
        <f>IF(CCTSAS[[#This Row],[Allocation fonctions]]="","",IF(ISNA(VLOOKUP(CCTSAS[[#This Row],[Allocation fonctions]],'Variable et Dropdowns'!H83:H99,1,FALSE))=TRUE,"Veuillez utiliser les allocations parmis la liste déroulante.",""))</f>
        <v/>
      </c>
    </row>
    <row r="89" spans="1:35" x14ac:dyDescent="0.25">
      <c r="A89" s="73" t="str">
        <f>IF(CCTSAS[[#This Row],[Carrière]]="","",IF(ISNA(VLOOKUP(CCTSAS[[#This Row],[Carrière]],DROPDOWN[Dropdown9],1,FALSE))=TRUE,"Carrière: Utiliser la liste déroulante",""))</f>
        <v/>
      </c>
      <c r="B89" s="8"/>
      <c r="C89" s="8"/>
      <c r="D89" s="8"/>
      <c r="E89" s="21"/>
      <c r="F89" s="64"/>
      <c r="G89" s="8"/>
      <c r="H89" s="8"/>
      <c r="I89" s="10"/>
      <c r="J89" s="10"/>
      <c r="K89" s="9"/>
      <c r="L89" s="9"/>
      <c r="M89" s="9"/>
      <c r="N89"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89" s="9"/>
      <c r="P89" s="9"/>
      <c r="Q89" s="8"/>
      <c r="R89" s="38"/>
      <c r="S89" s="38"/>
      <c r="T89" s="38"/>
      <c r="U89" s="38"/>
      <c r="V89" s="38"/>
      <c r="W89" s="38"/>
      <c r="X89" s="38"/>
      <c r="Y89"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89" s="38"/>
      <c r="AA89"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89" s="8"/>
      <c r="AC89" s="203"/>
      <c r="AD89"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89"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89" s="503"/>
      <c r="AG89" s="44"/>
      <c r="AH89" s="189" t="str">
        <f>IF(COUNTA(CCTSAS[[#This Row],[N°]:[heures annuelles
selon contrat(s)]])=0,"",REVEX!$E$9)</f>
        <v/>
      </c>
      <c r="AI89" s="73" t="str">
        <f>IF(CCTSAS[[#This Row],[Allocation fonctions]]="","",IF(ISNA(VLOOKUP(CCTSAS[[#This Row],[Allocation fonctions]],'Variable et Dropdowns'!H84:H100,1,FALSE))=TRUE,"Veuillez utiliser les allocations parmis la liste déroulante.",""))</f>
        <v/>
      </c>
    </row>
    <row r="90" spans="1:35" x14ac:dyDescent="0.25">
      <c r="A90" s="73" t="str">
        <f>IF(CCTSAS[[#This Row],[Carrière]]="","",IF(ISNA(VLOOKUP(CCTSAS[[#This Row],[Carrière]],DROPDOWN[Dropdown9],1,FALSE))=TRUE,"Carrière: Utiliser la liste déroulante",""))</f>
        <v/>
      </c>
      <c r="B90" s="8"/>
      <c r="C90" s="8"/>
      <c r="D90" s="8"/>
      <c r="E90" s="21"/>
      <c r="F90" s="64"/>
      <c r="G90" s="8"/>
      <c r="H90" s="8"/>
      <c r="I90" s="10"/>
      <c r="J90" s="10"/>
      <c r="K90" s="9"/>
      <c r="L90" s="9"/>
      <c r="M90" s="9"/>
      <c r="N90"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90" s="9"/>
      <c r="P90" s="9"/>
      <c r="Q90" s="8"/>
      <c r="R90" s="38"/>
      <c r="S90" s="38"/>
      <c r="T90" s="38"/>
      <c r="U90" s="38"/>
      <c r="V90" s="38"/>
      <c r="W90" s="38"/>
      <c r="X90" s="38"/>
      <c r="Y90"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90" s="38"/>
      <c r="AA90"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90" s="8"/>
      <c r="AC90" s="203"/>
      <c r="AD90"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90"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90" s="503"/>
      <c r="AG90" s="44"/>
      <c r="AH90" s="189" t="str">
        <f>IF(COUNTA(CCTSAS[[#This Row],[N°]:[heures annuelles
selon contrat(s)]])=0,"",REVEX!$E$9)</f>
        <v/>
      </c>
      <c r="AI90" s="73" t="str">
        <f>IF(CCTSAS[[#This Row],[Allocation fonctions]]="","",IF(ISNA(VLOOKUP(CCTSAS[[#This Row],[Allocation fonctions]],'Variable et Dropdowns'!H85:H101,1,FALSE))=TRUE,"Veuillez utiliser les allocations parmis la liste déroulante.",""))</f>
        <v/>
      </c>
    </row>
    <row r="91" spans="1:35" x14ac:dyDescent="0.25">
      <c r="A91" s="73" t="str">
        <f>IF(CCTSAS[[#This Row],[Carrière]]="","",IF(ISNA(VLOOKUP(CCTSAS[[#This Row],[Carrière]],DROPDOWN[Dropdown9],1,FALSE))=TRUE,"Carrière: Utiliser la liste déroulante",""))</f>
        <v/>
      </c>
      <c r="B91" s="8"/>
      <c r="C91" s="8"/>
      <c r="D91" s="8"/>
      <c r="E91" s="21"/>
      <c r="F91" s="64"/>
      <c r="G91" s="8"/>
      <c r="H91" s="8"/>
      <c r="I91" s="10"/>
      <c r="J91" s="10"/>
      <c r="K91" s="9"/>
      <c r="L91" s="9"/>
      <c r="M91" s="9"/>
      <c r="N91"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91" s="9"/>
      <c r="P91" s="9"/>
      <c r="Q91" s="8"/>
      <c r="R91" s="38"/>
      <c r="S91" s="38"/>
      <c r="T91" s="38"/>
      <c r="U91" s="38"/>
      <c r="V91" s="38"/>
      <c r="W91" s="38"/>
      <c r="X91" s="38"/>
      <c r="Y91"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91" s="38"/>
      <c r="AA91"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91" s="8"/>
      <c r="AC91" s="203"/>
      <c r="AD91"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91"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91" s="503"/>
      <c r="AG91" s="44"/>
      <c r="AH91" s="189" t="str">
        <f>IF(COUNTA(CCTSAS[[#This Row],[N°]:[heures annuelles
selon contrat(s)]])=0,"",REVEX!$E$9)</f>
        <v/>
      </c>
      <c r="AI91" s="73" t="str">
        <f>IF(CCTSAS[[#This Row],[Allocation fonctions]]="","",IF(ISNA(VLOOKUP(CCTSAS[[#This Row],[Allocation fonctions]],'Variable et Dropdowns'!H86:H102,1,FALSE))=TRUE,"Veuillez utiliser les allocations parmis la liste déroulante.",""))</f>
        <v/>
      </c>
    </row>
    <row r="92" spans="1:35" x14ac:dyDescent="0.25">
      <c r="A92" s="73" t="str">
        <f>IF(CCTSAS[[#This Row],[Carrière]]="","",IF(ISNA(VLOOKUP(CCTSAS[[#This Row],[Carrière]],DROPDOWN[Dropdown9],1,FALSE))=TRUE,"Carrière: Utiliser la liste déroulante",""))</f>
        <v/>
      </c>
      <c r="B92" s="8"/>
      <c r="C92" s="8"/>
      <c r="D92" s="8"/>
      <c r="E92" s="21"/>
      <c r="F92" s="64"/>
      <c r="G92" s="8"/>
      <c r="H92" s="8"/>
      <c r="I92" s="10"/>
      <c r="J92" s="10"/>
      <c r="K92" s="9"/>
      <c r="L92" s="9"/>
      <c r="M92" s="9"/>
      <c r="N92"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92" s="9"/>
      <c r="P92" s="9"/>
      <c r="Q92" s="8"/>
      <c r="R92" s="38"/>
      <c r="S92" s="38"/>
      <c r="T92" s="38"/>
      <c r="U92" s="38"/>
      <c r="V92" s="38"/>
      <c r="W92" s="38"/>
      <c r="X92" s="38"/>
      <c r="Y92"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92" s="38"/>
      <c r="AA92"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92" s="8"/>
      <c r="AC92" s="203"/>
      <c r="AD92"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92"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92" s="503"/>
      <c r="AG92" s="44"/>
      <c r="AH92" s="189" t="str">
        <f>IF(COUNTA(CCTSAS[[#This Row],[N°]:[heures annuelles
selon contrat(s)]])=0,"",REVEX!$E$9)</f>
        <v/>
      </c>
      <c r="AI92" s="73" t="str">
        <f>IF(CCTSAS[[#This Row],[Allocation fonctions]]="","",IF(ISNA(VLOOKUP(CCTSAS[[#This Row],[Allocation fonctions]],'Variable et Dropdowns'!H87:H103,1,FALSE))=TRUE,"Veuillez utiliser les allocations parmis la liste déroulante.",""))</f>
        <v/>
      </c>
    </row>
    <row r="93" spans="1:35" x14ac:dyDescent="0.25">
      <c r="A93" s="73" t="str">
        <f>IF(CCTSAS[[#This Row],[Carrière]]="","",IF(ISNA(VLOOKUP(CCTSAS[[#This Row],[Carrière]],DROPDOWN[Dropdown9],1,FALSE))=TRUE,"Carrière: Utiliser la liste déroulante",""))</f>
        <v/>
      </c>
      <c r="B93" s="8"/>
      <c r="C93" s="8"/>
      <c r="D93" s="8"/>
      <c r="E93" s="21"/>
      <c r="F93" s="64"/>
      <c r="G93" s="8"/>
      <c r="H93" s="8"/>
      <c r="I93" s="10"/>
      <c r="J93" s="10"/>
      <c r="K93" s="9"/>
      <c r="L93" s="9"/>
      <c r="M93" s="9"/>
      <c r="N93"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93" s="9"/>
      <c r="P93" s="9"/>
      <c r="Q93" s="8"/>
      <c r="R93" s="38"/>
      <c r="S93" s="38"/>
      <c r="T93" s="38"/>
      <c r="U93" s="38"/>
      <c r="V93" s="38"/>
      <c r="W93" s="38"/>
      <c r="X93" s="38"/>
      <c r="Y93"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93" s="38"/>
      <c r="AA93"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93" s="8"/>
      <c r="AC93" s="203"/>
      <c r="AD93"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93"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93" s="503"/>
      <c r="AG93" s="44"/>
      <c r="AH93" s="189" t="str">
        <f>IF(COUNTA(CCTSAS[[#This Row],[N°]:[heures annuelles
selon contrat(s)]])=0,"",REVEX!$E$9)</f>
        <v/>
      </c>
      <c r="AI93" s="73" t="str">
        <f>IF(CCTSAS[[#This Row],[Allocation fonctions]]="","",IF(ISNA(VLOOKUP(CCTSAS[[#This Row],[Allocation fonctions]],'Variable et Dropdowns'!H88:H104,1,FALSE))=TRUE,"Veuillez utiliser les allocations parmis la liste déroulante.",""))</f>
        <v/>
      </c>
    </row>
    <row r="94" spans="1:35" x14ac:dyDescent="0.25">
      <c r="A94" s="73" t="str">
        <f>IF(CCTSAS[[#This Row],[Carrière]]="","",IF(ISNA(VLOOKUP(CCTSAS[[#This Row],[Carrière]],DROPDOWN[Dropdown9],1,FALSE))=TRUE,"Carrière: Utiliser la liste déroulante",""))</f>
        <v/>
      </c>
      <c r="B94" s="8"/>
      <c r="C94" s="8"/>
      <c r="D94" s="8"/>
      <c r="E94" s="21"/>
      <c r="F94" s="64"/>
      <c r="G94" s="8"/>
      <c r="H94" s="8"/>
      <c r="I94" s="10"/>
      <c r="J94" s="10"/>
      <c r="K94" s="9"/>
      <c r="L94" s="9"/>
      <c r="M94" s="9"/>
      <c r="N94"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94" s="9"/>
      <c r="P94" s="9"/>
      <c r="Q94" s="8"/>
      <c r="R94" s="38"/>
      <c r="S94" s="38"/>
      <c r="T94" s="38"/>
      <c r="U94" s="38"/>
      <c r="V94" s="38"/>
      <c r="W94" s="38"/>
      <c r="X94" s="38"/>
      <c r="Y94"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94" s="38"/>
      <c r="AA94"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94" s="8"/>
      <c r="AC94" s="203"/>
      <c r="AD94"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94"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94" s="503"/>
      <c r="AG94" s="44"/>
      <c r="AH94" s="189" t="str">
        <f>IF(COUNTA(CCTSAS[[#This Row],[N°]:[heures annuelles
selon contrat(s)]])=0,"",REVEX!$E$9)</f>
        <v/>
      </c>
      <c r="AI94" s="73" t="str">
        <f>IF(CCTSAS[[#This Row],[Allocation fonctions]]="","",IF(ISNA(VLOOKUP(CCTSAS[[#This Row],[Allocation fonctions]],'Variable et Dropdowns'!H89:H105,1,FALSE))=TRUE,"Veuillez utiliser les allocations parmis la liste déroulante.",""))</f>
        <v/>
      </c>
    </row>
    <row r="95" spans="1:35" x14ac:dyDescent="0.25">
      <c r="A95" s="73" t="str">
        <f>IF(CCTSAS[[#This Row],[Carrière]]="","",IF(ISNA(VLOOKUP(CCTSAS[[#This Row],[Carrière]],DROPDOWN[Dropdown9],1,FALSE))=TRUE,"Carrière: Utiliser la liste déroulante",""))</f>
        <v/>
      </c>
      <c r="B95" s="8"/>
      <c r="C95" s="8"/>
      <c r="D95" s="8"/>
      <c r="E95" s="21"/>
      <c r="F95" s="64"/>
      <c r="G95" s="8"/>
      <c r="H95" s="8"/>
      <c r="I95" s="10"/>
      <c r="J95" s="10"/>
      <c r="K95" s="9"/>
      <c r="L95" s="9"/>
      <c r="M95" s="9"/>
      <c r="N95"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95" s="9"/>
      <c r="P95" s="9"/>
      <c r="Q95" s="8"/>
      <c r="R95" s="38"/>
      <c r="S95" s="38"/>
      <c r="T95" s="38"/>
      <c r="U95" s="38"/>
      <c r="V95" s="38"/>
      <c r="W95" s="38"/>
      <c r="X95" s="38"/>
      <c r="Y95"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95" s="38"/>
      <c r="AA95"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95" s="8"/>
      <c r="AC95" s="203"/>
      <c r="AD95"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95"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95" s="503"/>
      <c r="AG95" s="44"/>
      <c r="AH95" s="189" t="str">
        <f>IF(COUNTA(CCTSAS[[#This Row],[N°]:[heures annuelles
selon contrat(s)]])=0,"",REVEX!$E$9)</f>
        <v/>
      </c>
      <c r="AI95" s="73" t="str">
        <f>IF(CCTSAS[[#This Row],[Allocation fonctions]]="","",IF(ISNA(VLOOKUP(CCTSAS[[#This Row],[Allocation fonctions]],'Variable et Dropdowns'!H90:H106,1,FALSE))=TRUE,"Veuillez utiliser les allocations parmis la liste déroulante.",""))</f>
        <v/>
      </c>
    </row>
    <row r="96" spans="1:35" x14ac:dyDescent="0.25">
      <c r="A96" s="73" t="str">
        <f>IF(CCTSAS[[#This Row],[Carrière]]="","",IF(ISNA(VLOOKUP(CCTSAS[[#This Row],[Carrière]],DROPDOWN[Dropdown9],1,FALSE))=TRUE,"Carrière: Utiliser la liste déroulante",""))</f>
        <v/>
      </c>
      <c r="B96" s="8"/>
      <c r="C96" s="8"/>
      <c r="D96" s="8"/>
      <c r="E96" s="21"/>
      <c r="F96" s="64"/>
      <c r="G96" s="8"/>
      <c r="H96" s="8"/>
      <c r="I96" s="10"/>
      <c r="J96" s="10"/>
      <c r="K96" s="9"/>
      <c r="L96" s="9"/>
      <c r="M96" s="9"/>
      <c r="N96"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96" s="9"/>
      <c r="P96" s="9"/>
      <c r="Q96" s="8"/>
      <c r="R96" s="38"/>
      <c r="S96" s="38"/>
      <c r="T96" s="38"/>
      <c r="U96" s="38"/>
      <c r="V96" s="38"/>
      <c r="W96" s="38"/>
      <c r="X96" s="38"/>
      <c r="Y96"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96" s="38"/>
      <c r="AA96"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96" s="8"/>
      <c r="AC96" s="203"/>
      <c r="AD96"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96"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96" s="503"/>
      <c r="AG96" s="44"/>
      <c r="AH96" s="189" t="str">
        <f>IF(COUNTA(CCTSAS[[#This Row],[N°]:[heures annuelles
selon contrat(s)]])=0,"",REVEX!$E$9)</f>
        <v/>
      </c>
      <c r="AI96" s="73" t="str">
        <f>IF(CCTSAS[[#This Row],[Allocation fonctions]]="","",IF(ISNA(VLOOKUP(CCTSAS[[#This Row],[Allocation fonctions]],'Variable et Dropdowns'!H91:H107,1,FALSE))=TRUE,"Veuillez utiliser les allocations parmis la liste déroulante.",""))</f>
        <v/>
      </c>
    </row>
    <row r="97" spans="1:35" x14ac:dyDescent="0.25">
      <c r="A97" s="73" t="str">
        <f>IF(CCTSAS[[#This Row],[Carrière]]="","",IF(ISNA(VLOOKUP(CCTSAS[[#This Row],[Carrière]],DROPDOWN[Dropdown9],1,FALSE))=TRUE,"Carrière: Utiliser la liste déroulante",""))</f>
        <v/>
      </c>
      <c r="B97" s="8"/>
      <c r="C97" s="8"/>
      <c r="D97" s="8"/>
      <c r="E97" s="21"/>
      <c r="F97" s="64"/>
      <c r="G97" s="8"/>
      <c r="H97" s="8"/>
      <c r="I97" s="10"/>
      <c r="J97" s="10"/>
      <c r="K97" s="9"/>
      <c r="L97" s="9"/>
      <c r="M97" s="9"/>
      <c r="N97"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97" s="9"/>
      <c r="P97" s="9"/>
      <c r="Q97" s="8"/>
      <c r="R97" s="38"/>
      <c r="S97" s="38"/>
      <c r="T97" s="38"/>
      <c r="U97" s="38"/>
      <c r="V97" s="38"/>
      <c r="W97" s="38"/>
      <c r="X97" s="38"/>
      <c r="Y97"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97" s="38"/>
      <c r="AA97"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97" s="8"/>
      <c r="AC97" s="203"/>
      <c r="AD97"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97"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97" s="503"/>
      <c r="AG97" s="44"/>
      <c r="AH97" s="189" t="str">
        <f>IF(COUNTA(CCTSAS[[#This Row],[N°]:[heures annuelles
selon contrat(s)]])=0,"",REVEX!$E$9)</f>
        <v/>
      </c>
      <c r="AI97" s="73" t="str">
        <f>IF(CCTSAS[[#This Row],[Allocation fonctions]]="","",IF(ISNA(VLOOKUP(CCTSAS[[#This Row],[Allocation fonctions]],'Variable et Dropdowns'!H92:H108,1,FALSE))=TRUE,"Veuillez utiliser les allocations parmis la liste déroulante.",""))</f>
        <v/>
      </c>
    </row>
    <row r="98" spans="1:35" x14ac:dyDescent="0.25">
      <c r="A98" s="73" t="str">
        <f>IF(CCTSAS[[#This Row],[Carrière]]="","",IF(ISNA(VLOOKUP(CCTSAS[[#This Row],[Carrière]],DROPDOWN[Dropdown9],1,FALSE))=TRUE,"Carrière: Utiliser la liste déroulante",""))</f>
        <v/>
      </c>
      <c r="B98" s="8"/>
      <c r="C98" s="8"/>
      <c r="D98" s="8"/>
      <c r="E98" s="21"/>
      <c r="F98" s="64"/>
      <c r="G98" s="8"/>
      <c r="H98" s="8"/>
      <c r="I98" s="10"/>
      <c r="J98" s="10"/>
      <c r="K98" s="9"/>
      <c r="L98" s="9"/>
      <c r="M98" s="9"/>
      <c r="N98"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98" s="9"/>
      <c r="P98" s="9"/>
      <c r="Q98" s="8"/>
      <c r="R98" s="38"/>
      <c r="S98" s="38"/>
      <c r="T98" s="38"/>
      <c r="U98" s="38"/>
      <c r="V98" s="38"/>
      <c r="W98" s="38"/>
      <c r="X98" s="38"/>
      <c r="Y98"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98" s="38"/>
      <c r="AA98"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98" s="8"/>
      <c r="AC98" s="203"/>
      <c r="AD98"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98"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98" s="503"/>
      <c r="AG98" s="44"/>
      <c r="AH98" s="189" t="str">
        <f>IF(COUNTA(CCTSAS[[#This Row],[N°]:[heures annuelles
selon contrat(s)]])=0,"",REVEX!$E$9)</f>
        <v/>
      </c>
      <c r="AI98" s="73" t="str">
        <f>IF(CCTSAS[[#This Row],[Allocation fonctions]]="","",IF(ISNA(VLOOKUP(CCTSAS[[#This Row],[Allocation fonctions]],'Variable et Dropdowns'!H93:H109,1,FALSE))=TRUE,"Veuillez utiliser les allocations parmis la liste déroulante.",""))</f>
        <v/>
      </c>
    </row>
    <row r="99" spans="1:35" x14ac:dyDescent="0.25">
      <c r="A99" s="73" t="str">
        <f>IF(CCTSAS[[#This Row],[Carrière]]="","",IF(ISNA(VLOOKUP(CCTSAS[[#This Row],[Carrière]],DROPDOWN[Dropdown9],1,FALSE))=TRUE,"Carrière: Utiliser la liste déroulante",""))</f>
        <v/>
      </c>
      <c r="B99" s="8"/>
      <c r="C99" s="8"/>
      <c r="D99" s="8"/>
      <c r="E99" s="21"/>
      <c r="F99" s="64"/>
      <c r="G99" s="8"/>
      <c r="H99" s="8"/>
      <c r="I99" s="10"/>
      <c r="J99" s="10"/>
      <c r="K99" s="9"/>
      <c r="L99" s="9"/>
      <c r="M99" s="9"/>
      <c r="N99"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99" s="9"/>
      <c r="P99" s="9"/>
      <c r="Q99" s="8"/>
      <c r="R99" s="38"/>
      <c r="S99" s="38"/>
      <c r="T99" s="38"/>
      <c r="U99" s="38"/>
      <c r="V99" s="38"/>
      <c r="W99" s="38"/>
      <c r="X99" s="38"/>
      <c r="Y99"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99" s="38"/>
      <c r="AA99"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99" s="8"/>
      <c r="AC99" s="203"/>
      <c r="AD99"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99"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99" s="503"/>
      <c r="AG99" s="44"/>
      <c r="AH99" s="189" t="str">
        <f>IF(COUNTA(CCTSAS[[#This Row],[N°]:[heures annuelles
selon contrat(s)]])=0,"",REVEX!$E$9)</f>
        <v/>
      </c>
      <c r="AI99" s="73" t="str">
        <f>IF(CCTSAS[[#This Row],[Allocation fonctions]]="","",IF(ISNA(VLOOKUP(CCTSAS[[#This Row],[Allocation fonctions]],'Variable et Dropdowns'!H94:H110,1,FALSE))=TRUE,"Veuillez utiliser les allocations parmis la liste déroulante.",""))</f>
        <v/>
      </c>
    </row>
    <row r="100" spans="1:35" x14ac:dyDescent="0.25">
      <c r="A100" s="73" t="str">
        <f>IF(CCTSAS[[#This Row],[Carrière]]="","",IF(ISNA(VLOOKUP(CCTSAS[[#This Row],[Carrière]],DROPDOWN[Dropdown9],1,FALSE))=TRUE,"Carrière: Utiliser la liste déroulante",""))</f>
        <v/>
      </c>
      <c r="B100" s="8"/>
      <c r="C100" s="8"/>
      <c r="D100" s="8"/>
      <c r="E100" s="21"/>
      <c r="F100" s="64"/>
      <c r="G100" s="8"/>
      <c r="H100" s="8"/>
      <c r="I100" s="10"/>
      <c r="J100" s="10"/>
      <c r="K100" s="9"/>
      <c r="L100" s="9"/>
      <c r="M100" s="9"/>
      <c r="N100"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00" s="9"/>
      <c r="P100" s="9"/>
      <c r="Q100" s="8"/>
      <c r="R100" s="38"/>
      <c r="S100" s="38"/>
      <c r="T100" s="38"/>
      <c r="U100" s="38"/>
      <c r="V100" s="38"/>
      <c r="W100" s="38"/>
      <c r="X100" s="38"/>
      <c r="Y100"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00" s="38"/>
      <c r="AA100"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00" s="8"/>
      <c r="AC100" s="203"/>
      <c r="AD100"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00"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00" s="503"/>
      <c r="AG100" s="44"/>
      <c r="AH100" s="189" t="str">
        <f>IF(COUNTA(CCTSAS[[#This Row],[N°]:[heures annuelles
selon contrat(s)]])=0,"",REVEX!$E$9)</f>
        <v/>
      </c>
      <c r="AI100" s="73" t="str">
        <f>IF(CCTSAS[[#This Row],[Allocation fonctions]]="","",IF(ISNA(VLOOKUP(CCTSAS[[#This Row],[Allocation fonctions]],'Variable et Dropdowns'!H95:H111,1,FALSE))=TRUE,"Veuillez utiliser les allocations parmis la liste déroulante.",""))</f>
        <v/>
      </c>
    </row>
    <row r="101" spans="1:35" x14ac:dyDescent="0.25">
      <c r="A101" s="73" t="str">
        <f>IF(CCTSAS[[#This Row],[Carrière]]="","",IF(ISNA(VLOOKUP(CCTSAS[[#This Row],[Carrière]],DROPDOWN[Dropdown9],1,FALSE))=TRUE,"Carrière: Utiliser la liste déroulante",""))</f>
        <v/>
      </c>
      <c r="B101" s="8"/>
      <c r="C101" s="8"/>
      <c r="D101" s="8"/>
      <c r="E101" s="21"/>
      <c r="F101" s="64"/>
      <c r="G101" s="8"/>
      <c r="H101" s="8"/>
      <c r="I101" s="10"/>
      <c r="J101" s="10"/>
      <c r="K101" s="9"/>
      <c r="L101" s="9"/>
      <c r="M101" s="9"/>
      <c r="N101"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01" s="9"/>
      <c r="P101" s="9"/>
      <c r="Q101" s="8"/>
      <c r="R101" s="38"/>
      <c r="S101" s="38"/>
      <c r="T101" s="38"/>
      <c r="U101" s="38"/>
      <c r="V101" s="38"/>
      <c r="W101" s="38"/>
      <c r="X101" s="38"/>
      <c r="Y101"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01" s="38"/>
      <c r="AA101"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01" s="8"/>
      <c r="AC101" s="203"/>
      <c r="AD101"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01"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01" s="503"/>
      <c r="AG101" s="44"/>
      <c r="AH101" s="189" t="str">
        <f>IF(COUNTA(CCTSAS[[#This Row],[N°]:[heures annuelles
selon contrat(s)]])=0,"",REVEX!$E$9)</f>
        <v/>
      </c>
      <c r="AI101" s="73" t="str">
        <f>IF(CCTSAS[[#This Row],[Allocation fonctions]]="","",IF(ISNA(VLOOKUP(CCTSAS[[#This Row],[Allocation fonctions]],'Variable et Dropdowns'!H96:H112,1,FALSE))=TRUE,"Veuillez utiliser les allocations parmis la liste déroulante.",""))</f>
        <v/>
      </c>
    </row>
    <row r="102" spans="1:35" x14ac:dyDescent="0.25">
      <c r="A102" s="73" t="str">
        <f>IF(CCTSAS[[#This Row],[Carrière]]="","",IF(ISNA(VLOOKUP(CCTSAS[[#This Row],[Carrière]],DROPDOWN[Dropdown9],1,FALSE))=TRUE,"Carrière: Utiliser la liste déroulante",""))</f>
        <v/>
      </c>
      <c r="B102" s="8"/>
      <c r="C102" s="8"/>
      <c r="D102" s="8"/>
      <c r="E102" s="21"/>
      <c r="F102" s="64"/>
      <c r="G102" s="8"/>
      <c r="H102" s="8"/>
      <c r="I102" s="10"/>
      <c r="J102" s="10"/>
      <c r="K102" s="9"/>
      <c r="L102" s="9"/>
      <c r="M102" s="9"/>
      <c r="N102"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02" s="9"/>
      <c r="P102" s="9"/>
      <c r="Q102" s="8"/>
      <c r="R102" s="38"/>
      <c r="S102" s="38"/>
      <c r="T102" s="38"/>
      <c r="U102" s="38"/>
      <c r="V102" s="38"/>
      <c r="W102" s="38"/>
      <c r="X102" s="38"/>
      <c r="Y102"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02" s="38"/>
      <c r="AA102"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02" s="8"/>
      <c r="AC102" s="203"/>
      <c r="AD102"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02"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02" s="503"/>
      <c r="AG102" s="44"/>
      <c r="AH102" s="189" t="str">
        <f>IF(COUNTA(CCTSAS[[#This Row],[N°]:[heures annuelles
selon contrat(s)]])=0,"",REVEX!$E$9)</f>
        <v/>
      </c>
      <c r="AI102" s="73" t="str">
        <f>IF(CCTSAS[[#This Row],[Allocation fonctions]]="","",IF(ISNA(VLOOKUP(CCTSAS[[#This Row],[Allocation fonctions]],'Variable et Dropdowns'!H97:H113,1,FALSE))=TRUE,"Veuillez utiliser les allocations parmis la liste déroulante.",""))</f>
        <v/>
      </c>
    </row>
    <row r="103" spans="1:35" x14ac:dyDescent="0.25">
      <c r="A103" s="73" t="str">
        <f>IF(CCTSAS[[#This Row],[Carrière]]="","",IF(ISNA(VLOOKUP(CCTSAS[[#This Row],[Carrière]],DROPDOWN[Dropdown9],1,FALSE))=TRUE,"Carrière: Utiliser la liste déroulante",""))</f>
        <v/>
      </c>
      <c r="B103" s="8"/>
      <c r="C103" s="8"/>
      <c r="D103" s="8"/>
      <c r="E103" s="21"/>
      <c r="F103" s="64"/>
      <c r="G103" s="8"/>
      <c r="H103" s="8"/>
      <c r="I103" s="10"/>
      <c r="J103" s="10"/>
      <c r="K103" s="9"/>
      <c r="L103" s="9"/>
      <c r="M103" s="9"/>
      <c r="N103"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03" s="9"/>
      <c r="P103" s="9"/>
      <c r="Q103" s="8"/>
      <c r="R103" s="38"/>
      <c r="S103" s="38"/>
      <c r="T103" s="38"/>
      <c r="U103" s="38"/>
      <c r="V103" s="38"/>
      <c r="W103" s="38"/>
      <c r="X103" s="38"/>
      <c r="Y103"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03" s="38"/>
      <c r="AA103"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03" s="8"/>
      <c r="AC103" s="203"/>
      <c r="AD103"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03"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03" s="503"/>
      <c r="AG103" s="44"/>
      <c r="AH103" s="189" t="str">
        <f>IF(COUNTA(CCTSAS[[#This Row],[N°]:[heures annuelles
selon contrat(s)]])=0,"",REVEX!$E$9)</f>
        <v/>
      </c>
      <c r="AI103" s="73" t="str">
        <f>IF(CCTSAS[[#This Row],[Allocation fonctions]]="","",IF(ISNA(VLOOKUP(CCTSAS[[#This Row],[Allocation fonctions]],'Variable et Dropdowns'!H98:H114,1,FALSE))=TRUE,"Veuillez utiliser les allocations parmis la liste déroulante.",""))</f>
        <v/>
      </c>
    </row>
    <row r="104" spans="1:35" x14ac:dyDescent="0.25">
      <c r="A104" s="73" t="str">
        <f>IF(CCTSAS[[#This Row],[Carrière]]="","",IF(ISNA(VLOOKUP(CCTSAS[[#This Row],[Carrière]],DROPDOWN[Dropdown9],1,FALSE))=TRUE,"Carrière: Utiliser la liste déroulante",""))</f>
        <v/>
      </c>
      <c r="B104" s="8"/>
      <c r="C104" s="8"/>
      <c r="D104" s="8"/>
      <c r="E104" s="21"/>
      <c r="F104" s="64"/>
      <c r="G104" s="8"/>
      <c r="H104" s="8"/>
      <c r="I104" s="10"/>
      <c r="J104" s="10"/>
      <c r="K104" s="9"/>
      <c r="L104" s="9"/>
      <c r="M104" s="9"/>
      <c r="N104"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04" s="9"/>
      <c r="P104" s="9"/>
      <c r="Q104" s="8"/>
      <c r="R104" s="38"/>
      <c r="S104" s="38"/>
      <c r="T104" s="38"/>
      <c r="U104" s="38"/>
      <c r="V104" s="38"/>
      <c r="W104" s="38"/>
      <c r="X104" s="38"/>
      <c r="Y104"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04" s="38"/>
      <c r="AA104"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04" s="8"/>
      <c r="AC104" s="203"/>
      <c r="AD104"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04"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04" s="503"/>
      <c r="AG104" s="44"/>
      <c r="AH104" s="189" t="str">
        <f>IF(COUNTA(CCTSAS[[#This Row],[N°]:[heures annuelles
selon contrat(s)]])=0,"",REVEX!$E$9)</f>
        <v/>
      </c>
      <c r="AI104" s="73" t="str">
        <f>IF(CCTSAS[[#This Row],[Allocation fonctions]]="","",IF(ISNA(VLOOKUP(CCTSAS[[#This Row],[Allocation fonctions]],'Variable et Dropdowns'!H99:H115,1,FALSE))=TRUE,"Veuillez utiliser les allocations parmis la liste déroulante.",""))</f>
        <v/>
      </c>
    </row>
    <row r="105" spans="1:35" x14ac:dyDescent="0.25">
      <c r="A105" s="73" t="str">
        <f>IF(CCTSAS[[#This Row],[Carrière]]="","",IF(ISNA(VLOOKUP(CCTSAS[[#This Row],[Carrière]],DROPDOWN[Dropdown9],1,FALSE))=TRUE,"Carrière: Utiliser la liste déroulante",""))</f>
        <v/>
      </c>
      <c r="B105" s="8"/>
      <c r="C105" s="8"/>
      <c r="D105" s="8"/>
      <c r="E105" s="21"/>
      <c r="F105" s="64"/>
      <c r="G105" s="8"/>
      <c r="H105" s="8"/>
      <c r="I105" s="10"/>
      <c r="J105" s="10"/>
      <c r="K105" s="9"/>
      <c r="L105" s="9"/>
      <c r="M105" s="9"/>
      <c r="N105"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05" s="9"/>
      <c r="P105" s="9"/>
      <c r="Q105" s="8"/>
      <c r="R105" s="38"/>
      <c r="S105" s="38"/>
      <c r="T105" s="38"/>
      <c r="U105" s="38"/>
      <c r="V105" s="38"/>
      <c r="W105" s="38"/>
      <c r="X105" s="38"/>
      <c r="Y105"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05" s="38"/>
      <c r="AA105"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05" s="8"/>
      <c r="AC105" s="203"/>
      <c r="AD105"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05"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05" s="503"/>
      <c r="AG105" s="44"/>
      <c r="AH105" s="189" t="str">
        <f>IF(COUNTA(CCTSAS[[#This Row],[N°]:[heures annuelles
selon contrat(s)]])=0,"",REVEX!$E$9)</f>
        <v/>
      </c>
      <c r="AI105" s="73" t="str">
        <f>IF(CCTSAS[[#This Row],[Allocation fonctions]]="","",IF(ISNA(VLOOKUP(CCTSAS[[#This Row],[Allocation fonctions]],'Variable et Dropdowns'!H100:H116,1,FALSE))=TRUE,"Veuillez utiliser les allocations parmis la liste déroulante.",""))</f>
        <v/>
      </c>
    </row>
    <row r="106" spans="1:35" x14ac:dyDescent="0.25">
      <c r="A106" s="73" t="str">
        <f>IF(CCTSAS[[#This Row],[Carrière]]="","",IF(ISNA(VLOOKUP(CCTSAS[[#This Row],[Carrière]],DROPDOWN[Dropdown9],1,FALSE))=TRUE,"Carrière: Utiliser la liste déroulante",""))</f>
        <v/>
      </c>
      <c r="B106" s="8"/>
      <c r="C106" s="8"/>
      <c r="D106" s="8"/>
      <c r="E106" s="21"/>
      <c r="F106" s="64"/>
      <c r="G106" s="8"/>
      <c r="H106" s="8"/>
      <c r="I106" s="10"/>
      <c r="J106" s="10"/>
      <c r="K106" s="9"/>
      <c r="L106" s="9"/>
      <c r="M106" s="9"/>
      <c r="N106"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06" s="9"/>
      <c r="P106" s="9"/>
      <c r="Q106" s="8"/>
      <c r="R106" s="38"/>
      <c r="S106" s="38"/>
      <c r="T106" s="38"/>
      <c r="U106" s="38"/>
      <c r="V106" s="38"/>
      <c r="W106" s="38"/>
      <c r="X106" s="38"/>
      <c r="Y106"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06" s="38"/>
      <c r="AA106"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06" s="8"/>
      <c r="AC106" s="203"/>
      <c r="AD106"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06"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06" s="503"/>
      <c r="AG106" s="44"/>
      <c r="AH106" s="189" t="str">
        <f>IF(COUNTA(CCTSAS[[#This Row],[N°]:[heures annuelles
selon contrat(s)]])=0,"",REVEX!$E$9)</f>
        <v/>
      </c>
      <c r="AI106" s="73" t="str">
        <f>IF(CCTSAS[[#This Row],[Allocation fonctions]]="","",IF(ISNA(VLOOKUP(CCTSAS[[#This Row],[Allocation fonctions]],'Variable et Dropdowns'!H101:H117,1,FALSE))=TRUE,"Veuillez utiliser les allocations parmis la liste déroulante.",""))</f>
        <v/>
      </c>
    </row>
    <row r="107" spans="1:35" x14ac:dyDescent="0.25">
      <c r="A107" s="73" t="str">
        <f>IF(CCTSAS[[#This Row],[Carrière]]="","",IF(ISNA(VLOOKUP(CCTSAS[[#This Row],[Carrière]],DROPDOWN[Dropdown9],1,FALSE))=TRUE,"Carrière: Utiliser la liste déroulante",""))</f>
        <v/>
      </c>
      <c r="B107" s="8"/>
      <c r="C107" s="8"/>
      <c r="D107" s="8"/>
      <c r="E107" s="21"/>
      <c r="F107" s="64"/>
      <c r="G107" s="8"/>
      <c r="H107" s="8"/>
      <c r="I107" s="10"/>
      <c r="J107" s="10"/>
      <c r="K107" s="9"/>
      <c r="L107" s="9"/>
      <c r="M107" s="9"/>
      <c r="N107"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07" s="9"/>
      <c r="P107" s="9"/>
      <c r="Q107" s="8"/>
      <c r="R107" s="38"/>
      <c r="S107" s="38"/>
      <c r="T107" s="38"/>
      <c r="U107" s="38"/>
      <c r="V107" s="38"/>
      <c r="W107" s="38"/>
      <c r="X107" s="38"/>
      <c r="Y107"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07" s="38"/>
      <c r="AA107"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07" s="8"/>
      <c r="AC107" s="203"/>
      <c r="AD107"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07"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07" s="503"/>
      <c r="AG107" s="44"/>
      <c r="AH107" s="189" t="str">
        <f>IF(COUNTA(CCTSAS[[#This Row],[N°]:[heures annuelles
selon contrat(s)]])=0,"",REVEX!$E$9)</f>
        <v/>
      </c>
      <c r="AI107" s="73" t="str">
        <f>IF(CCTSAS[[#This Row],[Allocation fonctions]]="","",IF(ISNA(VLOOKUP(CCTSAS[[#This Row],[Allocation fonctions]],'Variable et Dropdowns'!H102:H118,1,FALSE))=TRUE,"Veuillez utiliser les allocations parmis la liste déroulante.",""))</f>
        <v/>
      </c>
    </row>
    <row r="108" spans="1:35" x14ac:dyDescent="0.25">
      <c r="A108" s="73" t="str">
        <f>IF(CCTSAS[[#This Row],[Carrière]]="","",IF(ISNA(VLOOKUP(CCTSAS[[#This Row],[Carrière]],DROPDOWN[Dropdown9],1,FALSE))=TRUE,"Carrière: Utiliser la liste déroulante",""))</f>
        <v/>
      </c>
      <c r="B108" s="8"/>
      <c r="C108" s="8"/>
      <c r="D108" s="8"/>
      <c r="E108" s="21"/>
      <c r="F108" s="64"/>
      <c r="G108" s="8"/>
      <c r="H108" s="8"/>
      <c r="I108" s="10"/>
      <c r="J108" s="10"/>
      <c r="K108" s="9"/>
      <c r="L108" s="9"/>
      <c r="M108" s="9"/>
      <c r="N108"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08" s="9"/>
      <c r="P108" s="9"/>
      <c r="Q108" s="8"/>
      <c r="R108" s="38"/>
      <c r="S108" s="38"/>
      <c r="T108" s="38"/>
      <c r="U108" s="38"/>
      <c r="V108" s="38"/>
      <c r="W108" s="38"/>
      <c r="X108" s="38"/>
      <c r="Y108"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08" s="38"/>
      <c r="AA108"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08" s="8"/>
      <c r="AC108" s="203"/>
      <c r="AD108"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08"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08" s="503"/>
      <c r="AG108" s="44"/>
      <c r="AH108" s="189" t="str">
        <f>IF(COUNTA(CCTSAS[[#This Row],[N°]:[heures annuelles
selon contrat(s)]])=0,"",REVEX!$E$9)</f>
        <v/>
      </c>
      <c r="AI108" s="73" t="str">
        <f>IF(CCTSAS[[#This Row],[Allocation fonctions]]="","",IF(ISNA(VLOOKUP(CCTSAS[[#This Row],[Allocation fonctions]],'Variable et Dropdowns'!H103:H119,1,FALSE))=TRUE,"Veuillez utiliser les allocations parmis la liste déroulante.",""))</f>
        <v/>
      </c>
    </row>
    <row r="109" spans="1:35" x14ac:dyDescent="0.25">
      <c r="A109" s="73" t="str">
        <f>IF(CCTSAS[[#This Row],[Carrière]]="","",IF(ISNA(VLOOKUP(CCTSAS[[#This Row],[Carrière]],DROPDOWN[Dropdown9],1,FALSE))=TRUE,"Carrière: Utiliser la liste déroulante",""))</f>
        <v/>
      </c>
      <c r="B109" s="8"/>
      <c r="C109" s="8"/>
      <c r="D109" s="8"/>
      <c r="E109" s="21"/>
      <c r="F109" s="64"/>
      <c r="G109" s="8"/>
      <c r="H109" s="8"/>
      <c r="I109" s="10"/>
      <c r="J109" s="10"/>
      <c r="K109" s="9"/>
      <c r="L109" s="9"/>
      <c r="M109" s="9"/>
      <c r="N109"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09" s="9"/>
      <c r="P109" s="9"/>
      <c r="Q109" s="8"/>
      <c r="R109" s="38"/>
      <c r="S109" s="38"/>
      <c r="T109" s="38"/>
      <c r="U109" s="38"/>
      <c r="V109" s="38"/>
      <c r="W109" s="38"/>
      <c r="X109" s="38"/>
      <c r="Y109"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09" s="38"/>
      <c r="AA109"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09" s="8"/>
      <c r="AC109" s="203"/>
      <c r="AD109"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09"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09" s="503"/>
      <c r="AG109" s="44"/>
      <c r="AH109" s="189" t="str">
        <f>IF(COUNTA(CCTSAS[[#This Row],[N°]:[heures annuelles
selon contrat(s)]])=0,"",REVEX!$E$9)</f>
        <v/>
      </c>
      <c r="AI109" s="73" t="str">
        <f>IF(CCTSAS[[#This Row],[Allocation fonctions]]="","",IF(ISNA(VLOOKUP(CCTSAS[[#This Row],[Allocation fonctions]],'Variable et Dropdowns'!H104:H120,1,FALSE))=TRUE,"Veuillez utiliser les allocations parmis la liste déroulante.",""))</f>
        <v/>
      </c>
    </row>
    <row r="110" spans="1:35" x14ac:dyDescent="0.25">
      <c r="A110" s="73" t="str">
        <f>IF(CCTSAS[[#This Row],[Carrière]]="","",IF(ISNA(VLOOKUP(CCTSAS[[#This Row],[Carrière]],DROPDOWN[Dropdown9],1,FALSE))=TRUE,"Carrière: Utiliser la liste déroulante",""))</f>
        <v/>
      </c>
      <c r="B110" s="8"/>
      <c r="C110" s="8"/>
      <c r="D110" s="8"/>
      <c r="E110" s="21"/>
      <c r="F110" s="64"/>
      <c r="G110" s="8"/>
      <c r="H110" s="8"/>
      <c r="I110" s="10"/>
      <c r="J110" s="10"/>
      <c r="K110" s="9"/>
      <c r="L110" s="9"/>
      <c r="M110" s="9"/>
      <c r="N110"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10" s="9"/>
      <c r="P110" s="9"/>
      <c r="Q110" s="8"/>
      <c r="R110" s="38"/>
      <c r="S110" s="38"/>
      <c r="T110" s="38"/>
      <c r="U110" s="38"/>
      <c r="V110" s="38"/>
      <c r="W110" s="38"/>
      <c r="X110" s="38"/>
      <c r="Y110"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10" s="38"/>
      <c r="AA110"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10" s="8"/>
      <c r="AC110" s="203"/>
      <c r="AD110"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10"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10" s="503"/>
      <c r="AG110" s="44"/>
      <c r="AH110" s="189" t="str">
        <f>IF(COUNTA(CCTSAS[[#This Row],[N°]:[heures annuelles
selon contrat(s)]])=0,"",REVEX!$E$9)</f>
        <v/>
      </c>
      <c r="AI110" s="73" t="str">
        <f>IF(CCTSAS[[#This Row],[Allocation fonctions]]="","",IF(ISNA(VLOOKUP(CCTSAS[[#This Row],[Allocation fonctions]],'Variable et Dropdowns'!H105:H121,1,FALSE))=TRUE,"Veuillez utiliser les allocations parmis la liste déroulante.",""))</f>
        <v/>
      </c>
    </row>
    <row r="111" spans="1:35" x14ac:dyDescent="0.25">
      <c r="A111" s="73" t="str">
        <f>IF(CCTSAS[[#This Row],[Carrière]]="","",IF(ISNA(VLOOKUP(CCTSAS[[#This Row],[Carrière]],DROPDOWN[Dropdown9],1,FALSE))=TRUE,"Carrière: Utiliser la liste déroulante",""))</f>
        <v/>
      </c>
      <c r="B111" s="8"/>
      <c r="C111" s="8"/>
      <c r="D111" s="8"/>
      <c r="E111" s="21"/>
      <c r="F111" s="64"/>
      <c r="G111" s="8"/>
      <c r="H111" s="8"/>
      <c r="I111" s="10"/>
      <c r="J111" s="10"/>
      <c r="K111" s="9"/>
      <c r="L111" s="9"/>
      <c r="M111" s="9"/>
      <c r="N111"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11" s="9"/>
      <c r="P111" s="9"/>
      <c r="Q111" s="8"/>
      <c r="R111" s="38"/>
      <c r="S111" s="38"/>
      <c r="T111" s="38"/>
      <c r="U111" s="38"/>
      <c r="V111" s="38"/>
      <c r="W111" s="38"/>
      <c r="X111" s="38"/>
      <c r="Y111"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11" s="38"/>
      <c r="AA111"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11" s="8"/>
      <c r="AC111" s="203"/>
      <c r="AD111"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11"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11" s="503"/>
      <c r="AG111" s="44"/>
      <c r="AH111" s="189" t="str">
        <f>IF(COUNTA(CCTSAS[[#This Row],[N°]:[heures annuelles
selon contrat(s)]])=0,"",REVEX!$E$9)</f>
        <v/>
      </c>
      <c r="AI111" s="73" t="str">
        <f>IF(CCTSAS[[#This Row],[Allocation fonctions]]="","",IF(ISNA(VLOOKUP(CCTSAS[[#This Row],[Allocation fonctions]],'Variable et Dropdowns'!H106:H122,1,FALSE))=TRUE,"Veuillez utiliser les allocations parmis la liste déroulante.",""))</f>
        <v/>
      </c>
    </row>
    <row r="112" spans="1:35" x14ac:dyDescent="0.25">
      <c r="A112" s="73" t="str">
        <f>IF(CCTSAS[[#This Row],[Carrière]]="","",IF(ISNA(VLOOKUP(CCTSAS[[#This Row],[Carrière]],DROPDOWN[Dropdown9],1,FALSE))=TRUE,"Carrière: Utiliser la liste déroulante",""))</f>
        <v/>
      </c>
      <c r="B112" s="8"/>
      <c r="C112" s="8"/>
      <c r="D112" s="8"/>
      <c r="E112" s="21"/>
      <c r="F112" s="64"/>
      <c r="G112" s="8"/>
      <c r="H112" s="8"/>
      <c r="I112" s="10"/>
      <c r="J112" s="10"/>
      <c r="K112" s="9"/>
      <c r="L112" s="9"/>
      <c r="M112" s="9"/>
      <c r="N112"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12" s="9"/>
      <c r="P112" s="9"/>
      <c r="Q112" s="8"/>
      <c r="R112" s="38"/>
      <c r="S112" s="38"/>
      <c r="T112" s="38"/>
      <c r="U112" s="38"/>
      <c r="V112" s="38"/>
      <c r="W112" s="38"/>
      <c r="X112" s="38"/>
      <c r="Y112"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12" s="38"/>
      <c r="AA112"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12" s="8"/>
      <c r="AC112" s="203"/>
      <c r="AD112"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12"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12" s="503"/>
      <c r="AG112" s="44"/>
      <c r="AH112" s="189" t="str">
        <f>IF(COUNTA(CCTSAS[[#This Row],[N°]:[heures annuelles
selon contrat(s)]])=0,"",REVEX!$E$9)</f>
        <v/>
      </c>
      <c r="AI112" s="73" t="str">
        <f>IF(CCTSAS[[#This Row],[Allocation fonctions]]="","",IF(ISNA(VLOOKUP(CCTSAS[[#This Row],[Allocation fonctions]],'Variable et Dropdowns'!H107:H123,1,FALSE))=TRUE,"Veuillez utiliser les allocations parmis la liste déroulante.",""))</f>
        <v/>
      </c>
    </row>
    <row r="113" spans="1:35" x14ac:dyDescent="0.25">
      <c r="A113" s="73" t="str">
        <f>IF(CCTSAS[[#This Row],[Carrière]]="","",IF(ISNA(VLOOKUP(CCTSAS[[#This Row],[Carrière]],DROPDOWN[Dropdown9],1,FALSE))=TRUE,"Carrière: Utiliser la liste déroulante",""))</f>
        <v/>
      </c>
      <c r="B113" s="8"/>
      <c r="C113" s="8"/>
      <c r="D113" s="8"/>
      <c r="E113" s="21"/>
      <c r="F113" s="64"/>
      <c r="G113" s="8"/>
      <c r="H113" s="8"/>
      <c r="I113" s="10"/>
      <c r="J113" s="10"/>
      <c r="K113" s="9"/>
      <c r="L113" s="9"/>
      <c r="M113" s="9"/>
      <c r="N113"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13" s="9"/>
      <c r="P113" s="9"/>
      <c r="Q113" s="8"/>
      <c r="R113" s="38"/>
      <c r="S113" s="38"/>
      <c r="T113" s="38"/>
      <c r="U113" s="38"/>
      <c r="V113" s="38"/>
      <c r="W113" s="38"/>
      <c r="X113" s="38"/>
      <c r="Y113"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13" s="38"/>
      <c r="AA113"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13" s="8"/>
      <c r="AC113" s="203"/>
      <c r="AD113"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13"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13" s="503"/>
      <c r="AG113" s="44"/>
      <c r="AH113" s="189" t="str">
        <f>IF(COUNTA(CCTSAS[[#This Row],[N°]:[heures annuelles
selon contrat(s)]])=0,"",REVEX!$E$9)</f>
        <v/>
      </c>
      <c r="AI113" s="73" t="str">
        <f>IF(CCTSAS[[#This Row],[Allocation fonctions]]="","",IF(ISNA(VLOOKUP(CCTSAS[[#This Row],[Allocation fonctions]],'Variable et Dropdowns'!H108:H124,1,FALSE))=TRUE,"Veuillez utiliser les allocations parmis la liste déroulante.",""))</f>
        <v/>
      </c>
    </row>
    <row r="114" spans="1:35" x14ac:dyDescent="0.25">
      <c r="A114" s="73" t="str">
        <f>IF(CCTSAS[[#This Row],[Carrière]]="","",IF(ISNA(VLOOKUP(CCTSAS[[#This Row],[Carrière]],DROPDOWN[Dropdown9],1,FALSE))=TRUE,"Carrière: Utiliser la liste déroulante",""))</f>
        <v/>
      </c>
      <c r="B114" s="8"/>
      <c r="C114" s="8"/>
      <c r="D114" s="8"/>
      <c r="E114" s="21"/>
      <c r="F114" s="64"/>
      <c r="G114" s="8"/>
      <c r="H114" s="8"/>
      <c r="I114" s="10"/>
      <c r="J114" s="10"/>
      <c r="K114" s="9"/>
      <c r="L114" s="9"/>
      <c r="M114" s="9"/>
      <c r="N114"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14" s="9"/>
      <c r="P114" s="9"/>
      <c r="Q114" s="8"/>
      <c r="R114" s="38"/>
      <c r="S114" s="38"/>
      <c r="T114" s="38"/>
      <c r="U114" s="38"/>
      <c r="V114" s="38"/>
      <c r="W114" s="38"/>
      <c r="X114" s="38"/>
      <c r="Y114"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14" s="38"/>
      <c r="AA114"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14" s="8"/>
      <c r="AC114" s="203"/>
      <c r="AD114"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14"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14" s="503"/>
      <c r="AG114" s="44"/>
      <c r="AH114" s="189" t="str">
        <f>IF(COUNTA(CCTSAS[[#This Row],[N°]:[heures annuelles
selon contrat(s)]])=0,"",REVEX!$E$9)</f>
        <v/>
      </c>
      <c r="AI114" s="73" t="str">
        <f>IF(CCTSAS[[#This Row],[Allocation fonctions]]="","",IF(ISNA(VLOOKUP(CCTSAS[[#This Row],[Allocation fonctions]],'Variable et Dropdowns'!H109:H125,1,FALSE))=TRUE,"Veuillez utiliser les allocations parmis la liste déroulante.",""))</f>
        <v/>
      </c>
    </row>
    <row r="115" spans="1:35" x14ac:dyDescent="0.25">
      <c r="A115" s="73" t="str">
        <f>IF(CCTSAS[[#This Row],[Carrière]]="","",IF(ISNA(VLOOKUP(CCTSAS[[#This Row],[Carrière]],DROPDOWN[Dropdown9],1,FALSE))=TRUE,"Carrière: Utiliser la liste déroulante",""))</f>
        <v/>
      </c>
      <c r="B115" s="8"/>
      <c r="C115" s="8"/>
      <c r="D115" s="8"/>
      <c r="E115" s="21"/>
      <c r="F115" s="64"/>
      <c r="G115" s="8"/>
      <c r="H115" s="8"/>
      <c r="I115" s="10"/>
      <c r="J115" s="10"/>
      <c r="K115" s="9"/>
      <c r="L115" s="9"/>
      <c r="M115" s="9"/>
      <c r="N115"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15" s="9"/>
      <c r="P115" s="9"/>
      <c r="Q115" s="8"/>
      <c r="R115" s="38"/>
      <c r="S115" s="38"/>
      <c r="T115" s="38"/>
      <c r="U115" s="38"/>
      <c r="V115" s="38"/>
      <c r="W115" s="38"/>
      <c r="X115" s="38"/>
      <c r="Y115"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15" s="38"/>
      <c r="AA115"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15" s="8"/>
      <c r="AC115" s="203"/>
      <c r="AD115"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15"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15" s="503"/>
      <c r="AG115" s="44"/>
      <c r="AH115" s="189" t="str">
        <f>IF(COUNTA(CCTSAS[[#This Row],[N°]:[heures annuelles
selon contrat(s)]])=0,"",REVEX!$E$9)</f>
        <v/>
      </c>
      <c r="AI115" s="73" t="str">
        <f>IF(CCTSAS[[#This Row],[Allocation fonctions]]="","",IF(ISNA(VLOOKUP(CCTSAS[[#This Row],[Allocation fonctions]],'Variable et Dropdowns'!H110:H126,1,FALSE))=TRUE,"Veuillez utiliser les allocations parmis la liste déroulante.",""))</f>
        <v/>
      </c>
    </row>
    <row r="116" spans="1:35" x14ac:dyDescent="0.25">
      <c r="A116" s="73" t="str">
        <f>IF(CCTSAS[[#This Row],[Carrière]]="","",IF(ISNA(VLOOKUP(CCTSAS[[#This Row],[Carrière]],DROPDOWN[Dropdown9],1,FALSE))=TRUE,"Carrière: Utiliser la liste déroulante",""))</f>
        <v/>
      </c>
      <c r="B116" s="8"/>
      <c r="C116" s="8"/>
      <c r="D116" s="8"/>
      <c r="E116" s="21"/>
      <c r="F116" s="64"/>
      <c r="G116" s="8"/>
      <c r="H116" s="8"/>
      <c r="I116" s="10"/>
      <c r="J116" s="10"/>
      <c r="K116" s="9"/>
      <c r="L116" s="9"/>
      <c r="M116" s="9"/>
      <c r="N116"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16" s="9"/>
      <c r="P116" s="9"/>
      <c r="Q116" s="8"/>
      <c r="R116" s="38"/>
      <c r="S116" s="38"/>
      <c r="T116" s="38"/>
      <c r="U116" s="38"/>
      <c r="V116" s="38"/>
      <c r="W116" s="38"/>
      <c r="X116" s="38"/>
      <c r="Y116"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16" s="38"/>
      <c r="AA116"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16" s="8"/>
      <c r="AC116" s="203"/>
      <c r="AD116"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16"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16" s="503"/>
      <c r="AG116" s="44"/>
      <c r="AH116" s="189" t="str">
        <f>IF(COUNTA(CCTSAS[[#This Row],[N°]:[heures annuelles
selon contrat(s)]])=0,"",REVEX!$E$9)</f>
        <v/>
      </c>
      <c r="AI116" s="73" t="str">
        <f>IF(CCTSAS[[#This Row],[Allocation fonctions]]="","",IF(ISNA(VLOOKUP(CCTSAS[[#This Row],[Allocation fonctions]],'Variable et Dropdowns'!H111:H127,1,FALSE))=TRUE,"Veuillez utiliser les allocations parmis la liste déroulante.",""))</f>
        <v/>
      </c>
    </row>
    <row r="117" spans="1:35" x14ac:dyDescent="0.25">
      <c r="A117" s="73" t="str">
        <f>IF(CCTSAS[[#This Row],[Carrière]]="","",IF(ISNA(VLOOKUP(CCTSAS[[#This Row],[Carrière]],DROPDOWN[Dropdown9],1,FALSE))=TRUE,"Carrière: Utiliser la liste déroulante",""))</f>
        <v/>
      </c>
      <c r="B117" s="8"/>
      <c r="C117" s="8"/>
      <c r="D117" s="8"/>
      <c r="E117" s="21"/>
      <c r="F117" s="64"/>
      <c r="G117" s="8"/>
      <c r="H117" s="8"/>
      <c r="I117" s="10"/>
      <c r="J117" s="10"/>
      <c r="K117" s="9"/>
      <c r="L117" s="9"/>
      <c r="M117" s="9"/>
      <c r="N117"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17" s="9"/>
      <c r="P117" s="9"/>
      <c r="Q117" s="8"/>
      <c r="R117" s="38"/>
      <c r="S117" s="38"/>
      <c r="T117" s="38"/>
      <c r="U117" s="38"/>
      <c r="V117" s="38"/>
      <c r="W117" s="38"/>
      <c r="X117" s="38"/>
      <c r="Y117"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17" s="38"/>
      <c r="AA117"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17" s="8"/>
      <c r="AC117" s="203"/>
      <c r="AD117"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17"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17" s="503"/>
      <c r="AG117" s="44"/>
      <c r="AH117" s="189" t="str">
        <f>IF(COUNTA(CCTSAS[[#This Row],[N°]:[heures annuelles
selon contrat(s)]])=0,"",REVEX!$E$9)</f>
        <v/>
      </c>
      <c r="AI117" s="73" t="str">
        <f>IF(CCTSAS[[#This Row],[Allocation fonctions]]="","",IF(ISNA(VLOOKUP(CCTSAS[[#This Row],[Allocation fonctions]],'Variable et Dropdowns'!H112:H128,1,FALSE))=TRUE,"Veuillez utiliser les allocations parmis la liste déroulante.",""))</f>
        <v/>
      </c>
    </row>
    <row r="118" spans="1:35" x14ac:dyDescent="0.25">
      <c r="A118" s="73" t="str">
        <f>IF(CCTSAS[[#This Row],[Carrière]]="","",IF(ISNA(VLOOKUP(CCTSAS[[#This Row],[Carrière]],DROPDOWN[Dropdown9],1,FALSE))=TRUE,"Carrière: Utiliser la liste déroulante",""))</f>
        <v/>
      </c>
      <c r="B118" s="8"/>
      <c r="C118" s="8"/>
      <c r="D118" s="8"/>
      <c r="E118" s="21"/>
      <c r="F118" s="64"/>
      <c r="G118" s="8"/>
      <c r="H118" s="8"/>
      <c r="I118" s="10"/>
      <c r="J118" s="10"/>
      <c r="K118" s="9"/>
      <c r="L118" s="9"/>
      <c r="M118" s="9"/>
      <c r="N118"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18" s="9"/>
      <c r="P118" s="9"/>
      <c r="Q118" s="8"/>
      <c r="R118" s="38"/>
      <c r="S118" s="38"/>
      <c r="T118" s="38"/>
      <c r="U118" s="38"/>
      <c r="V118" s="38"/>
      <c r="W118" s="38"/>
      <c r="X118" s="38"/>
      <c r="Y118"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18" s="38"/>
      <c r="AA118"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18" s="8"/>
      <c r="AC118" s="203"/>
      <c r="AD118"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18"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18" s="503"/>
      <c r="AG118" s="44"/>
      <c r="AH118" s="189" t="str">
        <f>IF(COUNTA(CCTSAS[[#This Row],[N°]:[heures annuelles
selon contrat(s)]])=0,"",REVEX!$E$9)</f>
        <v/>
      </c>
      <c r="AI118" s="73" t="str">
        <f>IF(CCTSAS[[#This Row],[Allocation fonctions]]="","",IF(ISNA(VLOOKUP(CCTSAS[[#This Row],[Allocation fonctions]],'Variable et Dropdowns'!H113:H129,1,FALSE))=TRUE,"Veuillez utiliser les allocations parmis la liste déroulante.",""))</f>
        <v/>
      </c>
    </row>
    <row r="119" spans="1:35" x14ac:dyDescent="0.25">
      <c r="A119" s="73" t="str">
        <f>IF(CCTSAS[[#This Row],[Carrière]]="","",IF(ISNA(VLOOKUP(CCTSAS[[#This Row],[Carrière]],DROPDOWN[Dropdown9],1,FALSE))=TRUE,"Carrière: Utiliser la liste déroulante",""))</f>
        <v/>
      </c>
      <c r="B119" s="8"/>
      <c r="C119" s="8"/>
      <c r="D119" s="8"/>
      <c r="E119" s="21"/>
      <c r="F119" s="64"/>
      <c r="G119" s="8"/>
      <c r="H119" s="8"/>
      <c r="I119" s="10"/>
      <c r="J119" s="10"/>
      <c r="K119" s="9"/>
      <c r="L119" s="9"/>
      <c r="M119" s="9"/>
      <c r="N119"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19" s="9"/>
      <c r="P119" s="9"/>
      <c r="Q119" s="8"/>
      <c r="R119" s="38"/>
      <c r="S119" s="38"/>
      <c r="T119" s="38"/>
      <c r="U119" s="38"/>
      <c r="V119" s="38"/>
      <c r="W119" s="38"/>
      <c r="X119" s="38"/>
      <c r="Y119"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19" s="38"/>
      <c r="AA119"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19" s="8"/>
      <c r="AC119" s="203"/>
      <c r="AD119"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19"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19" s="503"/>
      <c r="AG119" s="44"/>
      <c r="AH119" s="189" t="str">
        <f>IF(COUNTA(CCTSAS[[#This Row],[N°]:[heures annuelles
selon contrat(s)]])=0,"",REVEX!$E$9)</f>
        <v/>
      </c>
      <c r="AI119" s="73" t="str">
        <f>IF(CCTSAS[[#This Row],[Allocation fonctions]]="","",IF(ISNA(VLOOKUP(CCTSAS[[#This Row],[Allocation fonctions]],'Variable et Dropdowns'!H114:H130,1,FALSE))=TRUE,"Veuillez utiliser les allocations parmis la liste déroulante.",""))</f>
        <v/>
      </c>
    </row>
    <row r="120" spans="1:35" x14ac:dyDescent="0.25">
      <c r="A120" s="73" t="str">
        <f>IF(CCTSAS[[#This Row],[Carrière]]="","",IF(ISNA(VLOOKUP(CCTSAS[[#This Row],[Carrière]],DROPDOWN[Dropdown9],1,FALSE))=TRUE,"Carrière: Utiliser la liste déroulante",""))</f>
        <v/>
      </c>
      <c r="B120" s="8"/>
      <c r="C120" s="8"/>
      <c r="D120" s="8"/>
      <c r="E120" s="21"/>
      <c r="F120" s="64"/>
      <c r="G120" s="8"/>
      <c r="H120" s="8"/>
      <c r="I120" s="10"/>
      <c r="J120" s="10"/>
      <c r="K120" s="9"/>
      <c r="L120" s="9"/>
      <c r="M120" s="9"/>
      <c r="N120"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20" s="9"/>
      <c r="P120" s="9"/>
      <c r="Q120" s="8"/>
      <c r="R120" s="38"/>
      <c r="S120" s="38"/>
      <c r="T120" s="38"/>
      <c r="U120" s="38"/>
      <c r="V120" s="38"/>
      <c r="W120" s="38"/>
      <c r="X120" s="38"/>
      <c r="Y120"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20" s="38"/>
      <c r="AA120"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20" s="8"/>
      <c r="AC120" s="203"/>
      <c r="AD120"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20"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20" s="503"/>
      <c r="AG120" s="44"/>
      <c r="AH120" s="189" t="str">
        <f>IF(COUNTA(CCTSAS[[#This Row],[N°]:[heures annuelles
selon contrat(s)]])=0,"",REVEX!$E$9)</f>
        <v/>
      </c>
      <c r="AI120" s="73" t="str">
        <f>IF(CCTSAS[[#This Row],[Allocation fonctions]]="","",IF(ISNA(VLOOKUP(CCTSAS[[#This Row],[Allocation fonctions]],'Variable et Dropdowns'!H115:H131,1,FALSE))=TRUE,"Veuillez utiliser les allocations parmis la liste déroulante.",""))</f>
        <v/>
      </c>
    </row>
    <row r="121" spans="1:35" x14ac:dyDescent="0.25">
      <c r="A121" s="73" t="str">
        <f>IF(CCTSAS[[#This Row],[Carrière]]="","",IF(ISNA(VLOOKUP(CCTSAS[[#This Row],[Carrière]],DROPDOWN[Dropdown9],1,FALSE))=TRUE,"Carrière: Utiliser la liste déroulante",""))</f>
        <v/>
      </c>
      <c r="B121" s="8"/>
      <c r="C121" s="8"/>
      <c r="D121" s="8"/>
      <c r="E121" s="21"/>
      <c r="F121" s="64"/>
      <c r="G121" s="8"/>
      <c r="H121" s="8"/>
      <c r="I121" s="10"/>
      <c r="J121" s="10"/>
      <c r="K121" s="9"/>
      <c r="L121" s="9"/>
      <c r="M121" s="9"/>
      <c r="N121"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21" s="9"/>
      <c r="P121" s="9"/>
      <c r="Q121" s="8"/>
      <c r="R121" s="38"/>
      <c r="S121" s="38"/>
      <c r="T121" s="38"/>
      <c r="U121" s="38"/>
      <c r="V121" s="38"/>
      <c r="W121" s="38"/>
      <c r="X121" s="38"/>
      <c r="Y121"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21" s="38"/>
      <c r="AA121"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21" s="8"/>
      <c r="AC121" s="203"/>
      <c r="AD121"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21"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21" s="503"/>
      <c r="AG121" s="44"/>
      <c r="AH121" s="189" t="str">
        <f>IF(COUNTA(CCTSAS[[#This Row],[N°]:[heures annuelles
selon contrat(s)]])=0,"",REVEX!$E$9)</f>
        <v/>
      </c>
      <c r="AI121" s="73" t="str">
        <f>IF(CCTSAS[[#This Row],[Allocation fonctions]]="","",IF(ISNA(VLOOKUP(CCTSAS[[#This Row],[Allocation fonctions]],'Variable et Dropdowns'!H116:H132,1,FALSE))=TRUE,"Veuillez utiliser les allocations parmis la liste déroulante.",""))</f>
        <v/>
      </c>
    </row>
    <row r="122" spans="1:35" x14ac:dyDescent="0.25">
      <c r="A122" s="73" t="str">
        <f>IF(CCTSAS[[#This Row],[Carrière]]="","",IF(ISNA(VLOOKUP(CCTSAS[[#This Row],[Carrière]],DROPDOWN[Dropdown9],1,FALSE))=TRUE,"Carrière: Utiliser la liste déroulante",""))</f>
        <v/>
      </c>
      <c r="B122" s="8"/>
      <c r="C122" s="8"/>
      <c r="D122" s="8"/>
      <c r="E122" s="21"/>
      <c r="F122" s="64"/>
      <c r="G122" s="8"/>
      <c r="H122" s="8"/>
      <c r="I122" s="10"/>
      <c r="J122" s="10"/>
      <c r="K122" s="9"/>
      <c r="L122" s="9"/>
      <c r="M122" s="9"/>
      <c r="N122"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22" s="9"/>
      <c r="P122" s="9"/>
      <c r="Q122" s="8"/>
      <c r="R122" s="38"/>
      <c r="S122" s="38"/>
      <c r="T122" s="38"/>
      <c r="U122" s="38"/>
      <c r="V122" s="38"/>
      <c r="W122" s="38"/>
      <c r="X122" s="38"/>
      <c r="Y122"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22" s="38"/>
      <c r="AA122"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22" s="8"/>
      <c r="AC122" s="203"/>
      <c r="AD122"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22"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22" s="503"/>
      <c r="AG122" s="44"/>
      <c r="AH122" s="189" t="str">
        <f>IF(COUNTA(CCTSAS[[#This Row],[N°]:[heures annuelles
selon contrat(s)]])=0,"",REVEX!$E$9)</f>
        <v/>
      </c>
      <c r="AI122" s="73" t="str">
        <f>IF(CCTSAS[[#This Row],[Allocation fonctions]]="","",IF(ISNA(VLOOKUP(CCTSAS[[#This Row],[Allocation fonctions]],'Variable et Dropdowns'!H117:H133,1,FALSE))=TRUE,"Veuillez utiliser les allocations parmis la liste déroulante.",""))</f>
        <v/>
      </c>
    </row>
    <row r="123" spans="1:35" x14ac:dyDescent="0.25">
      <c r="A123" s="73" t="str">
        <f>IF(CCTSAS[[#This Row],[Carrière]]="","",IF(ISNA(VLOOKUP(CCTSAS[[#This Row],[Carrière]],DROPDOWN[Dropdown9],1,FALSE))=TRUE,"Carrière: Utiliser la liste déroulante",""))</f>
        <v/>
      </c>
      <c r="B123" s="8"/>
      <c r="C123" s="8"/>
      <c r="D123" s="8"/>
      <c r="E123" s="21"/>
      <c r="F123" s="64"/>
      <c r="G123" s="8"/>
      <c r="H123" s="8"/>
      <c r="I123" s="10"/>
      <c r="J123" s="10"/>
      <c r="K123" s="9"/>
      <c r="L123" s="9"/>
      <c r="M123" s="9"/>
      <c r="N123"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23" s="9"/>
      <c r="P123" s="9"/>
      <c r="Q123" s="8"/>
      <c r="R123" s="38"/>
      <c r="S123" s="38"/>
      <c r="T123" s="38"/>
      <c r="U123" s="38"/>
      <c r="V123" s="38"/>
      <c r="W123" s="38"/>
      <c r="X123" s="38"/>
      <c r="Y123"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23" s="38"/>
      <c r="AA123"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23" s="8"/>
      <c r="AC123" s="203"/>
      <c r="AD123"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23"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23" s="503"/>
      <c r="AG123" s="44"/>
      <c r="AH123" s="189" t="str">
        <f>IF(COUNTA(CCTSAS[[#This Row],[N°]:[heures annuelles
selon contrat(s)]])=0,"",REVEX!$E$9)</f>
        <v/>
      </c>
      <c r="AI123" s="73" t="str">
        <f>IF(CCTSAS[[#This Row],[Allocation fonctions]]="","",IF(ISNA(VLOOKUP(CCTSAS[[#This Row],[Allocation fonctions]],'Variable et Dropdowns'!H118:H134,1,FALSE))=TRUE,"Veuillez utiliser les allocations parmis la liste déroulante.",""))</f>
        <v/>
      </c>
    </row>
    <row r="124" spans="1:35" x14ac:dyDescent="0.25">
      <c r="A124" s="73" t="str">
        <f>IF(CCTSAS[[#This Row],[Carrière]]="","",IF(ISNA(VLOOKUP(CCTSAS[[#This Row],[Carrière]],DROPDOWN[Dropdown9],1,FALSE))=TRUE,"Carrière: Utiliser la liste déroulante",""))</f>
        <v/>
      </c>
      <c r="B124" s="8"/>
      <c r="C124" s="8"/>
      <c r="D124" s="8"/>
      <c r="E124" s="21"/>
      <c r="F124" s="64"/>
      <c r="G124" s="8"/>
      <c r="H124" s="8"/>
      <c r="I124" s="10"/>
      <c r="J124" s="10"/>
      <c r="K124" s="9"/>
      <c r="L124" s="9"/>
      <c r="M124" s="9"/>
      <c r="N124"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24" s="9"/>
      <c r="P124" s="9"/>
      <c r="Q124" s="8"/>
      <c r="R124" s="38"/>
      <c r="S124" s="38"/>
      <c r="T124" s="38"/>
      <c r="U124" s="38"/>
      <c r="V124" s="38"/>
      <c r="W124" s="38"/>
      <c r="X124" s="38"/>
      <c r="Y124"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24" s="38"/>
      <c r="AA124"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24" s="8"/>
      <c r="AC124" s="203"/>
      <c r="AD124"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24"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24" s="503"/>
      <c r="AG124" s="44"/>
      <c r="AH124" s="189" t="str">
        <f>IF(COUNTA(CCTSAS[[#This Row],[N°]:[heures annuelles
selon contrat(s)]])=0,"",REVEX!$E$9)</f>
        <v/>
      </c>
      <c r="AI124" s="73" t="str">
        <f>IF(CCTSAS[[#This Row],[Allocation fonctions]]="","",IF(ISNA(VLOOKUP(CCTSAS[[#This Row],[Allocation fonctions]],'Variable et Dropdowns'!H119:H135,1,FALSE))=TRUE,"Veuillez utiliser les allocations parmis la liste déroulante.",""))</f>
        <v/>
      </c>
    </row>
    <row r="125" spans="1:35" x14ac:dyDescent="0.25">
      <c r="A125" s="73" t="str">
        <f>IF(CCTSAS[[#This Row],[Carrière]]="","",IF(ISNA(VLOOKUP(CCTSAS[[#This Row],[Carrière]],DROPDOWN[Dropdown9],1,FALSE))=TRUE,"Carrière: Utiliser la liste déroulante",""))</f>
        <v/>
      </c>
      <c r="B125" s="8"/>
      <c r="C125" s="8"/>
      <c r="D125" s="8"/>
      <c r="E125" s="21"/>
      <c r="F125" s="64"/>
      <c r="G125" s="8"/>
      <c r="H125" s="8"/>
      <c r="I125" s="10"/>
      <c r="J125" s="10"/>
      <c r="K125" s="9"/>
      <c r="L125" s="9"/>
      <c r="M125" s="9"/>
      <c r="N125"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25" s="9"/>
      <c r="P125" s="9"/>
      <c r="Q125" s="8"/>
      <c r="R125" s="38"/>
      <c r="S125" s="38"/>
      <c r="T125" s="38"/>
      <c r="U125" s="38"/>
      <c r="V125" s="38"/>
      <c r="W125" s="38"/>
      <c r="X125" s="38"/>
      <c r="Y125"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25" s="38"/>
      <c r="AA125"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25" s="8"/>
      <c r="AC125" s="203"/>
      <c r="AD125"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25"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25" s="503"/>
      <c r="AG125" s="44"/>
      <c r="AH125" s="189" t="str">
        <f>IF(COUNTA(CCTSAS[[#This Row],[N°]:[heures annuelles
selon contrat(s)]])=0,"",REVEX!$E$9)</f>
        <v/>
      </c>
      <c r="AI125" s="73" t="str">
        <f>IF(CCTSAS[[#This Row],[Allocation fonctions]]="","",IF(ISNA(VLOOKUP(CCTSAS[[#This Row],[Allocation fonctions]],'Variable et Dropdowns'!H120:H136,1,FALSE))=TRUE,"Veuillez utiliser les allocations parmis la liste déroulante.",""))</f>
        <v/>
      </c>
    </row>
    <row r="126" spans="1:35" x14ac:dyDescent="0.25">
      <c r="A126" s="73" t="str">
        <f>IF(CCTSAS[[#This Row],[Carrière]]="","",IF(ISNA(VLOOKUP(CCTSAS[[#This Row],[Carrière]],DROPDOWN[Dropdown9],1,FALSE))=TRUE,"Carrière: Utiliser la liste déroulante",""))</f>
        <v/>
      </c>
      <c r="B126" s="8"/>
      <c r="C126" s="8"/>
      <c r="D126" s="8"/>
      <c r="E126" s="21"/>
      <c r="F126" s="64"/>
      <c r="G126" s="8"/>
      <c r="H126" s="8"/>
      <c r="I126" s="10"/>
      <c r="J126" s="10"/>
      <c r="K126" s="9"/>
      <c r="L126" s="9"/>
      <c r="M126" s="9"/>
      <c r="N126"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26" s="9"/>
      <c r="P126" s="9"/>
      <c r="Q126" s="8"/>
      <c r="R126" s="38"/>
      <c r="S126" s="38"/>
      <c r="T126" s="38"/>
      <c r="U126" s="38"/>
      <c r="V126" s="38"/>
      <c r="W126" s="38"/>
      <c r="X126" s="38"/>
      <c r="Y126"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26" s="38"/>
      <c r="AA126"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26" s="8"/>
      <c r="AC126" s="203"/>
      <c r="AD126"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26"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26" s="503"/>
      <c r="AG126" s="44"/>
      <c r="AH126" s="189" t="str">
        <f>IF(COUNTA(CCTSAS[[#This Row],[N°]:[heures annuelles
selon contrat(s)]])=0,"",REVEX!$E$9)</f>
        <v/>
      </c>
      <c r="AI126" s="73" t="str">
        <f>IF(CCTSAS[[#This Row],[Allocation fonctions]]="","",IF(ISNA(VLOOKUP(CCTSAS[[#This Row],[Allocation fonctions]],'Variable et Dropdowns'!H121:H137,1,FALSE))=TRUE,"Veuillez utiliser les allocations parmis la liste déroulante.",""))</f>
        <v/>
      </c>
    </row>
    <row r="127" spans="1:35" x14ac:dyDescent="0.25">
      <c r="A127" s="73" t="str">
        <f>IF(CCTSAS[[#This Row],[Carrière]]="","",IF(ISNA(VLOOKUP(CCTSAS[[#This Row],[Carrière]],DROPDOWN[Dropdown9],1,FALSE))=TRUE,"Carrière: Utiliser la liste déroulante",""))</f>
        <v/>
      </c>
      <c r="B127" s="8"/>
      <c r="C127" s="8"/>
      <c r="D127" s="8"/>
      <c r="E127" s="21"/>
      <c r="F127" s="64"/>
      <c r="G127" s="8"/>
      <c r="H127" s="8"/>
      <c r="I127" s="10"/>
      <c r="J127" s="10"/>
      <c r="K127" s="9"/>
      <c r="L127" s="9"/>
      <c r="M127" s="9"/>
      <c r="N127"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27" s="9"/>
      <c r="P127" s="9"/>
      <c r="Q127" s="8"/>
      <c r="R127" s="38"/>
      <c r="S127" s="38"/>
      <c r="T127" s="38"/>
      <c r="U127" s="38"/>
      <c r="V127" s="38"/>
      <c r="W127" s="38"/>
      <c r="X127" s="38"/>
      <c r="Y127"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27" s="38"/>
      <c r="AA127"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27" s="8"/>
      <c r="AC127" s="203"/>
      <c r="AD127"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27"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27" s="503"/>
      <c r="AG127" s="44"/>
      <c r="AH127" s="189" t="str">
        <f>IF(COUNTA(CCTSAS[[#This Row],[N°]:[heures annuelles
selon contrat(s)]])=0,"",REVEX!$E$9)</f>
        <v/>
      </c>
      <c r="AI127" s="73" t="str">
        <f>IF(CCTSAS[[#This Row],[Allocation fonctions]]="","",IF(ISNA(VLOOKUP(CCTSAS[[#This Row],[Allocation fonctions]],'Variable et Dropdowns'!H122:H138,1,FALSE))=TRUE,"Veuillez utiliser les allocations parmis la liste déroulante.",""))</f>
        <v/>
      </c>
    </row>
    <row r="128" spans="1:35" x14ac:dyDescent="0.25">
      <c r="A128" s="73" t="str">
        <f>IF(CCTSAS[[#This Row],[Carrière]]="","",IF(ISNA(VLOOKUP(CCTSAS[[#This Row],[Carrière]],DROPDOWN[Dropdown9],1,FALSE))=TRUE,"Carrière: Utiliser la liste déroulante",""))</f>
        <v/>
      </c>
      <c r="B128" s="8"/>
      <c r="C128" s="8"/>
      <c r="D128" s="8"/>
      <c r="E128" s="21"/>
      <c r="F128" s="64"/>
      <c r="G128" s="8"/>
      <c r="H128" s="8"/>
      <c r="I128" s="10"/>
      <c r="J128" s="10"/>
      <c r="K128" s="9"/>
      <c r="L128" s="9"/>
      <c r="M128" s="9"/>
      <c r="N128"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28" s="9"/>
      <c r="P128" s="9"/>
      <c r="Q128" s="8"/>
      <c r="R128" s="38"/>
      <c r="S128" s="38"/>
      <c r="T128" s="38"/>
      <c r="U128" s="38"/>
      <c r="V128" s="38"/>
      <c r="W128" s="38"/>
      <c r="X128" s="38"/>
      <c r="Y128"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28" s="38"/>
      <c r="AA128"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28" s="8"/>
      <c r="AC128" s="203"/>
      <c r="AD128"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28"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28" s="503"/>
      <c r="AG128" s="44"/>
      <c r="AH128" s="189" t="str">
        <f>IF(COUNTA(CCTSAS[[#This Row],[N°]:[heures annuelles
selon contrat(s)]])=0,"",REVEX!$E$9)</f>
        <v/>
      </c>
      <c r="AI128" s="73" t="str">
        <f>IF(CCTSAS[[#This Row],[Allocation fonctions]]="","",IF(ISNA(VLOOKUP(CCTSAS[[#This Row],[Allocation fonctions]],'Variable et Dropdowns'!H123:H139,1,FALSE))=TRUE,"Veuillez utiliser les allocations parmis la liste déroulante.",""))</f>
        <v/>
      </c>
    </row>
    <row r="129" spans="1:35" x14ac:dyDescent="0.25">
      <c r="A129" s="73" t="str">
        <f>IF(CCTSAS[[#This Row],[Carrière]]="","",IF(ISNA(VLOOKUP(CCTSAS[[#This Row],[Carrière]],DROPDOWN[Dropdown9],1,FALSE))=TRUE,"Carrière: Utiliser la liste déroulante",""))</f>
        <v/>
      </c>
      <c r="B129" s="8"/>
      <c r="C129" s="8"/>
      <c r="D129" s="8"/>
      <c r="E129" s="21"/>
      <c r="F129" s="64"/>
      <c r="G129" s="8"/>
      <c r="H129" s="8"/>
      <c r="I129" s="10"/>
      <c r="J129" s="10"/>
      <c r="K129" s="9"/>
      <c r="L129" s="9"/>
      <c r="M129" s="9"/>
      <c r="N129"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29" s="9"/>
      <c r="P129" s="9"/>
      <c r="Q129" s="8"/>
      <c r="R129" s="38"/>
      <c r="S129" s="38"/>
      <c r="T129" s="38"/>
      <c r="U129" s="38"/>
      <c r="V129" s="38"/>
      <c r="W129" s="38"/>
      <c r="X129" s="38"/>
      <c r="Y129"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29" s="38"/>
      <c r="AA129"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29" s="8"/>
      <c r="AC129" s="203"/>
      <c r="AD129"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29"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29" s="503"/>
      <c r="AG129" s="44"/>
      <c r="AH129" s="189" t="str">
        <f>IF(COUNTA(CCTSAS[[#This Row],[N°]:[heures annuelles
selon contrat(s)]])=0,"",REVEX!$E$9)</f>
        <v/>
      </c>
      <c r="AI129" s="73" t="str">
        <f>IF(CCTSAS[[#This Row],[Allocation fonctions]]="","",IF(ISNA(VLOOKUP(CCTSAS[[#This Row],[Allocation fonctions]],'Variable et Dropdowns'!H124:H140,1,FALSE))=TRUE,"Veuillez utiliser les allocations parmis la liste déroulante.",""))</f>
        <v/>
      </c>
    </row>
    <row r="130" spans="1:35" x14ac:dyDescent="0.25">
      <c r="A130" s="73" t="str">
        <f>IF(CCTSAS[[#This Row],[Carrière]]="","",IF(ISNA(VLOOKUP(CCTSAS[[#This Row],[Carrière]],DROPDOWN[Dropdown9],1,FALSE))=TRUE,"Carrière: Utiliser la liste déroulante",""))</f>
        <v/>
      </c>
      <c r="B130" s="8"/>
      <c r="C130" s="8"/>
      <c r="D130" s="8"/>
      <c r="E130" s="21"/>
      <c r="F130" s="64"/>
      <c r="G130" s="8"/>
      <c r="H130" s="8"/>
      <c r="I130" s="10"/>
      <c r="J130" s="10"/>
      <c r="K130" s="9"/>
      <c r="L130" s="9"/>
      <c r="M130" s="9"/>
      <c r="N130"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30" s="9"/>
      <c r="P130" s="9"/>
      <c r="Q130" s="8"/>
      <c r="R130" s="38"/>
      <c r="S130" s="38"/>
      <c r="T130" s="38"/>
      <c r="U130" s="38"/>
      <c r="V130" s="38"/>
      <c r="W130" s="38"/>
      <c r="X130" s="38"/>
      <c r="Y130"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30" s="38"/>
      <c r="AA130"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30" s="8"/>
      <c r="AC130" s="203"/>
      <c r="AD130"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30"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30" s="503"/>
      <c r="AG130" s="44"/>
      <c r="AH130" s="189" t="str">
        <f>IF(COUNTA(CCTSAS[[#This Row],[N°]:[heures annuelles
selon contrat(s)]])=0,"",REVEX!$E$9)</f>
        <v/>
      </c>
      <c r="AI130" s="73" t="str">
        <f>IF(CCTSAS[[#This Row],[Allocation fonctions]]="","",IF(ISNA(VLOOKUP(CCTSAS[[#This Row],[Allocation fonctions]],'Variable et Dropdowns'!H125:H141,1,FALSE))=TRUE,"Veuillez utiliser les allocations parmis la liste déroulante.",""))</f>
        <v/>
      </c>
    </row>
    <row r="131" spans="1:35" x14ac:dyDescent="0.25">
      <c r="A131" s="73" t="str">
        <f>IF(CCTSAS[[#This Row],[Carrière]]="","",IF(ISNA(VLOOKUP(CCTSAS[[#This Row],[Carrière]],DROPDOWN[Dropdown9],1,FALSE))=TRUE,"Carrière: Utiliser la liste déroulante",""))</f>
        <v/>
      </c>
      <c r="B131" s="8"/>
      <c r="C131" s="8"/>
      <c r="D131" s="8"/>
      <c r="E131" s="21"/>
      <c r="F131" s="64"/>
      <c r="G131" s="8"/>
      <c r="H131" s="8"/>
      <c r="I131" s="10"/>
      <c r="J131" s="10"/>
      <c r="K131" s="9"/>
      <c r="L131" s="9"/>
      <c r="M131" s="9"/>
      <c r="N131"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31" s="9"/>
      <c r="P131" s="9"/>
      <c r="Q131" s="8"/>
      <c r="R131" s="38"/>
      <c r="S131" s="38"/>
      <c r="T131" s="38"/>
      <c r="U131" s="38"/>
      <c r="V131" s="38"/>
      <c r="W131" s="38"/>
      <c r="X131" s="38"/>
      <c r="Y131"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31" s="38"/>
      <c r="AA131"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31" s="8"/>
      <c r="AC131" s="203"/>
      <c r="AD131"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31"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31" s="503"/>
      <c r="AG131" s="44"/>
      <c r="AH131" s="189" t="str">
        <f>IF(COUNTA(CCTSAS[[#This Row],[N°]:[heures annuelles
selon contrat(s)]])=0,"",REVEX!$E$9)</f>
        <v/>
      </c>
      <c r="AI131" s="73" t="str">
        <f>IF(CCTSAS[[#This Row],[Allocation fonctions]]="","",IF(ISNA(VLOOKUP(CCTSAS[[#This Row],[Allocation fonctions]],'Variable et Dropdowns'!H126:H142,1,FALSE))=TRUE,"Veuillez utiliser les allocations parmis la liste déroulante.",""))</f>
        <v/>
      </c>
    </row>
    <row r="132" spans="1:35" x14ac:dyDescent="0.25">
      <c r="A132" s="73" t="str">
        <f>IF(CCTSAS[[#This Row],[Carrière]]="","",IF(ISNA(VLOOKUP(CCTSAS[[#This Row],[Carrière]],DROPDOWN[Dropdown9],1,FALSE))=TRUE,"Carrière: Utiliser la liste déroulante",""))</f>
        <v/>
      </c>
      <c r="B132" s="8"/>
      <c r="C132" s="8"/>
      <c r="D132" s="8"/>
      <c r="E132" s="21"/>
      <c r="F132" s="64"/>
      <c r="G132" s="8"/>
      <c r="H132" s="8"/>
      <c r="I132" s="10"/>
      <c r="J132" s="10"/>
      <c r="K132" s="9"/>
      <c r="L132" s="9"/>
      <c r="M132" s="9"/>
      <c r="N132"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32" s="9"/>
      <c r="P132" s="9"/>
      <c r="Q132" s="8"/>
      <c r="R132" s="38"/>
      <c r="S132" s="38"/>
      <c r="T132" s="38"/>
      <c r="U132" s="38"/>
      <c r="V132" s="38"/>
      <c r="W132" s="38"/>
      <c r="X132" s="38"/>
      <c r="Y132"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32" s="38"/>
      <c r="AA132"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32" s="8"/>
      <c r="AC132" s="203"/>
      <c r="AD132"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32"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32" s="503"/>
      <c r="AG132" s="44"/>
      <c r="AH132" s="189" t="str">
        <f>IF(COUNTA(CCTSAS[[#This Row],[N°]:[heures annuelles
selon contrat(s)]])=0,"",REVEX!$E$9)</f>
        <v/>
      </c>
      <c r="AI132" s="73" t="str">
        <f>IF(CCTSAS[[#This Row],[Allocation fonctions]]="","",IF(ISNA(VLOOKUP(CCTSAS[[#This Row],[Allocation fonctions]],'Variable et Dropdowns'!H127:H143,1,FALSE))=TRUE,"Veuillez utiliser les allocations parmis la liste déroulante.",""))</f>
        <v/>
      </c>
    </row>
    <row r="133" spans="1:35" x14ac:dyDescent="0.25">
      <c r="A133" s="73" t="str">
        <f>IF(CCTSAS[[#This Row],[Carrière]]="","",IF(ISNA(VLOOKUP(CCTSAS[[#This Row],[Carrière]],DROPDOWN[Dropdown9],1,FALSE))=TRUE,"Carrière: Utiliser la liste déroulante",""))</f>
        <v/>
      </c>
      <c r="B133" s="8"/>
      <c r="C133" s="8"/>
      <c r="D133" s="8"/>
      <c r="E133" s="21"/>
      <c r="F133" s="64"/>
      <c r="G133" s="8"/>
      <c r="H133" s="8"/>
      <c r="I133" s="10"/>
      <c r="J133" s="10"/>
      <c r="K133" s="9"/>
      <c r="L133" s="9"/>
      <c r="M133" s="9"/>
      <c r="N133"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33" s="9"/>
      <c r="P133" s="9"/>
      <c r="Q133" s="8"/>
      <c r="R133" s="38"/>
      <c r="S133" s="38"/>
      <c r="T133" s="38"/>
      <c r="U133" s="38"/>
      <c r="V133" s="38"/>
      <c r="W133" s="38"/>
      <c r="X133" s="38"/>
      <c r="Y133"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33" s="38"/>
      <c r="AA133"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33" s="8"/>
      <c r="AC133" s="203"/>
      <c r="AD133"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33"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33" s="503"/>
      <c r="AG133" s="44"/>
      <c r="AH133" s="189" t="str">
        <f>IF(COUNTA(CCTSAS[[#This Row],[N°]:[heures annuelles
selon contrat(s)]])=0,"",REVEX!$E$9)</f>
        <v/>
      </c>
      <c r="AI133" s="73" t="str">
        <f>IF(CCTSAS[[#This Row],[Allocation fonctions]]="","",IF(ISNA(VLOOKUP(CCTSAS[[#This Row],[Allocation fonctions]],'Variable et Dropdowns'!H128:H144,1,FALSE))=TRUE,"Veuillez utiliser les allocations parmis la liste déroulante.",""))</f>
        <v/>
      </c>
    </row>
    <row r="134" spans="1:35" x14ac:dyDescent="0.25">
      <c r="A134" s="73" t="str">
        <f>IF(CCTSAS[[#This Row],[Carrière]]="","",IF(ISNA(VLOOKUP(CCTSAS[[#This Row],[Carrière]],DROPDOWN[Dropdown9],1,FALSE))=TRUE,"Carrière: Utiliser la liste déroulante",""))</f>
        <v/>
      </c>
      <c r="B134" s="8"/>
      <c r="C134" s="8"/>
      <c r="D134" s="8"/>
      <c r="E134" s="21"/>
      <c r="F134" s="64"/>
      <c r="G134" s="8"/>
      <c r="H134" s="8"/>
      <c r="I134" s="10"/>
      <c r="J134" s="10"/>
      <c r="K134" s="9"/>
      <c r="L134" s="9"/>
      <c r="M134" s="9"/>
      <c r="N134"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34" s="9"/>
      <c r="P134" s="9"/>
      <c r="Q134" s="8"/>
      <c r="R134" s="38"/>
      <c r="S134" s="38"/>
      <c r="T134" s="38"/>
      <c r="U134" s="38"/>
      <c r="V134" s="38"/>
      <c r="W134" s="38"/>
      <c r="X134" s="38"/>
      <c r="Y134"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34" s="38"/>
      <c r="AA134"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34" s="8"/>
      <c r="AC134" s="203"/>
      <c r="AD134"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34"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34" s="503"/>
      <c r="AG134" s="44"/>
      <c r="AH134" s="189" t="str">
        <f>IF(COUNTA(CCTSAS[[#This Row],[N°]:[heures annuelles
selon contrat(s)]])=0,"",REVEX!$E$9)</f>
        <v/>
      </c>
      <c r="AI134" s="73" t="str">
        <f>IF(CCTSAS[[#This Row],[Allocation fonctions]]="","",IF(ISNA(VLOOKUP(CCTSAS[[#This Row],[Allocation fonctions]],'Variable et Dropdowns'!H129:H145,1,FALSE))=TRUE,"Veuillez utiliser les allocations parmis la liste déroulante.",""))</f>
        <v/>
      </c>
    </row>
    <row r="135" spans="1:35" x14ac:dyDescent="0.25">
      <c r="A135" s="73" t="str">
        <f>IF(CCTSAS[[#This Row],[Carrière]]="","",IF(ISNA(VLOOKUP(CCTSAS[[#This Row],[Carrière]],DROPDOWN[Dropdown9],1,FALSE))=TRUE,"Carrière: Utiliser la liste déroulante",""))</f>
        <v/>
      </c>
      <c r="B135" s="8"/>
      <c r="C135" s="8"/>
      <c r="D135" s="8"/>
      <c r="E135" s="21"/>
      <c r="F135" s="64"/>
      <c r="G135" s="8"/>
      <c r="H135" s="8"/>
      <c r="I135" s="10"/>
      <c r="J135" s="10"/>
      <c r="K135" s="9"/>
      <c r="L135" s="9"/>
      <c r="M135" s="9"/>
      <c r="N135"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35" s="9"/>
      <c r="P135" s="9"/>
      <c r="Q135" s="8"/>
      <c r="R135" s="38"/>
      <c r="S135" s="38"/>
      <c r="T135" s="38"/>
      <c r="U135" s="38"/>
      <c r="V135" s="38"/>
      <c r="W135" s="38"/>
      <c r="X135" s="38"/>
      <c r="Y135"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35" s="38"/>
      <c r="AA135"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35" s="8"/>
      <c r="AC135" s="203"/>
      <c r="AD135"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35"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35" s="503"/>
      <c r="AG135" s="44"/>
      <c r="AH135" s="189" t="str">
        <f>IF(COUNTA(CCTSAS[[#This Row],[N°]:[heures annuelles
selon contrat(s)]])=0,"",REVEX!$E$9)</f>
        <v/>
      </c>
      <c r="AI135" s="73" t="str">
        <f>IF(CCTSAS[[#This Row],[Allocation fonctions]]="","",IF(ISNA(VLOOKUP(CCTSAS[[#This Row],[Allocation fonctions]],'Variable et Dropdowns'!H130:H146,1,FALSE))=TRUE,"Veuillez utiliser les allocations parmis la liste déroulante.",""))</f>
        <v/>
      </c>
    </row>
    <row r="136" spans="1:35" x14ac:dyDescent="0.25">
      <c r="A136" s="73" t="str">
        <f>IF(CCTSAS[[#This Row],[Carrière]]="","",IF(ISNA(VLOOKUP(CCTSAS[[#This Row],[Carrière]],DROPDOWN[Dropdown9],1,FALSE))=TRUE,"Carrière: Utiliser la liste déroulante",""))</f>
        <v/>
      </c>
      <c r="B136" s="8"/>
      <c r="C136" s="8"/>
      <c r="D136" s="8"/>
      <c r="E136" s="21"/>
      <c r="F136" s="64"/>
      <c r="G136" s="8"/>
      <c r="H136" s="8"/>
      <c r="I136" s="10"/>
      <c r="J136" s="10"/>
      <c r="K136" s="9"/>
      <c r="L136" s="9"/>
      <c r="M136" s="9"/>
      <c r="N136"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36" s="9"/>
      <c r="P136" s="9"/>
      <c r="Q136" s="8"/>
      <c r="R136" s="38"/>
      <c r="S136" s="38"/>
      <c r="T136" s="38"/>
      <c r="U136" s="38"/>
      <c r="V136" s="38"/>
      <c r="W136" s="38"/>
      <c r="X136" s="38"/>
      <c r="Y136"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36" s="38"/>
      <c r="AA136"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36" s="8"/>
      <c r="AC136" s="203"/>
      <c r="AD136"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36"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36" s="503"/>
      <c r="AG136" s="44"/>
      <c r="AH136" s="189" t="str">
        <f>IF(COUNTA(CCTSAS[[#This Row],[N°]:[heures annuelles
selon contrat(s)]])=0,"",REVEX!$E$9)</f>
        <v/>
      </c>
      <c r="AI136" s="73" t="str">
        <f>IF(CCTSAS[[#This Row],[Allocation fonctions]]="","",IF(ISNA(VLOOKUP(CCTSAS[[#This Row],[Allocation fonctions]],'Variable et Dropdowns'!H131:H147,1,FALSE))=TRUE,"Veuillez utiliser les allocations parmis la liste déroulante.",""))</f>
        <v/>
      </c>
    </row>
    <row r="137" spans="1:35" x14ac:dyDescent="0.25">
      <c r="A137" s="73" t="str">
        <f>IF(CCTSAS[[#This Row],[Carrière]]="","",IF(ISNA(VLOOKUP(CCTSAS[[#This Row],[Carrière]],DROPDOWN[Dropdown9],1,FALSE))=TRUE,"Carrière: Utiliser la liste déroulante",""))</f>
        <v/>
      </c>
      <c r="B137" s="8"/>
      <c r="C137" s="8"/>
      <c r="D137" s="8"/>
      <c r="E137" s="21"/>
      <c r="F137" s="64"/>
      <c r="G137" s="8"/>
      <c r="H137" s="8"/>
      <c r="I137" s="10"/>
      <c r="J137" s="10"/>
      <c r="K137" s="9"/>
      <c r="L137" s="9"/>
      <c r="M137" s="9"/>
      <c r="N137"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37" s="9"/>
      <c r="P137" s="9"/>
      <c r="Q137" s="8"/>
      <c r="R137" s="38"/>
      <c r="S137" s="38"/>
      <c r="T137" s="38"/>
      <c r="U137" s="38"/>
      <c r="V137" s="38"/>
      <c r="W137" s="38"/>
      <c r="X137" s="38"/>
      <c r="Y137"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37" s="38"/>
      <c r="AA137"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37" s="8"/>
      <c r="AC137" s="203"/>
      <c r="AD137"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37"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37" s="503"/>
      <c r="AG137" s="44"/>
      <c r="AH137" s="189" t="str">
        <f>IF(COUNTA(CCTSAS[[#This Row],[N°]:[heures annuelles
selon contrat(s)]])=0,"",REVEX!$E$9)</f>
        <v/>
      </c>
      <c r="AI137" s="73" t="str">
        <f>IF(CCTSAS[[#This Row],[Allocation fonctions]]="","",IF(ISNA(VLOOKUP(CCTSAS[[#This Row],[Allocation fonctions]],'Variable et Dropdowns'!H132:H148,1,FALSE))=TRUE,"Veuillez utiliser les allocations parmis la liste déroulante.",""))</f>
        <v/>
      </c>
    </row>
    <row r="138" spans="1:35" x14ac:dyDescent="0.25">
      <c r="A138" s="73" t="str">
        <f>IF(CCTSAS[[#This Row],[Carrière]]="","",IF(ISNA(VLOOKUP(CCTSAS[[#This Row],[Carrière]],DROPDOWN[Dropdown9],1,FALSE))=TRUE,"Carrière: Utiliser la liste déroulante",""))</f>
        <v/>
      </c>
      <c r="B138" s="8"/>
      <c r="C138" s="8"/>
      <c r="D138" s="8"/>
      <c r="E138" s="21"/>
      <c r="F138" s="64"/>
      <c r="G138" s="8"/>
      <c r="H138" s="8"/>
      <c r="I138" s="10"/>
      <c r="J138" s="10"/>
      <c r="K138" s="9"/>
      <c r="L138" s="9"/>
      <c r="M138" s="9"/>
      <c r="N138"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38" s="9"/>
      <c r="P138" s="9"/>
      <c r="Q138" s="8"/>
      <c r="R138" s="38"/>
      <c r="S138" s="38"/>
      <c r="T138" s="38"/>
      <c r="U138" s="38"/>
      <c r="V138" s="38"/>
      <c r="W138" s="38"/>
      <c r="X138" s="38"/>
      <c r="Y138"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38" s="38"/>
      <c r="AA138"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38" s="8"/>
      <c r="AC138" s="203"/>
      <c r="AD138"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38"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38" s="503"/>
      <c r="AG138" s="44"/>
      <c r="AH138" s="189" t="str">
        <f>IF(COUNTA(CCTSAS[[#This Row],[N°]:[heures annuelles
selon contrat(s)]])=0,"",REVEX!$E$9)</f>
        <v/>
      </c>
      <c r="AI138" s="73" t="str">
        <f>IF(CCTSAS[[#This Row],[Allocation fonctions]]="","",IF(ISNA(VLOOKUP(CCTSAS[[#This Row],[Allocation fonctions]],'Variable et Dropdowns'!H133:H149,1,FALSE))=TRUE,"Veuillez utiliser les allocations parmis la liste déroulante.",""))</f>
        <v/>
      </c>
    </row>
    <row r="139" spans="1:35" x14ac:dyDescent="0.25">
      <c r="A139" s="73" t="str">
        <f>IF(CCTSAS[[#This Row],[Carrière]]="","",IF(ISNA(VLOOKUP(CCTSAS[[#This Row],[Carrière]],DROPDOWN[Dropdown9],1,FALSE))=TRUE,"Carrière: Utiliser la liste déroulante",""))</f>
        <v/>
      </c>
      <c r="B139" s="8"/>
      <c r="C139" s="8"/>
      <c r="D139" s="8"/>
      <c r="E139" s="21"/>
      <c r="F139" s="64"/>
      <c r="G139" s="8"/>
      <c r="H139" s="8"/>
      <c r="I139" s="10"/>
      <c r="J139" s="10"/>
      <c r="K139" s="9"/>
      <c r="L139" s="9"/>
      <c r="M139" s="9"/>
      <c r="N139"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39" s="9"/>
      <c r="P139" s="9"/>
      <c r="Q139" s="8"/>
      <c r="R139" s="38"/>
      <c r="S139" s="38"/>
      <c r="T139" s="38"/>
      <c r="U139" s="38"/>
      <c r="V139" s="38"/>
      <c r="W139" s="38"/>
      <c r="X139" s="38"/>
      <c r="Y139"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39" s="38"/>
      <c r="AA139"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39" s="8"/>
      <c r="AC139" s="203"/>
      <c r="AD139"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39"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39" s="503"/>
      <c r="AG139" s="44"/>
      <c r="AH139" s="189" t="str">
        <f>IF(COUNTA(CCTSAS[[#This Row],[N°]:[heures annuelles
selon contrat(s)]])=0,"",REVEX!$E$9)</f>
        <v/>
      </c>
      <c r="AI139" s="73" t="str">
        <f>IF(CCTSAS[[#This Row],[Allocation fonctions]]="","",IF(ISNA(VLOOKUP(CCTSAS[[#This Row],[Allocation fonctions]],'Variable et Dropdowns'!H134:H150,1,FALSE))=TRUE,"Veuillez utiliser les allocations parmis la liste déroulante.",""))</f>
        <v/>
      </c>
    </row>
    <row r="140" spans="1:35" x14ac:dyDescent="0.25">
      <c r="A140" s="73" t="str">
        <f>IF(CCTSAS[[#This Row],[Carrière]]="","",IF(ISNA(VLOOKUP(CCTSAS[[#This Row],[Carrière]],DROPDOWN[Dropdown9],1,FALSE))=TRUE,"Carrière: Utiliser la liste déroulante",""))</f>
        <v/>
      </c>
      <c r="B140" s="8"/>
      <c r="C140" s="8"/>
      <c r="D140" s="8"/>
      <c r="E140" s="21"/>
      <c r="F140" s="64"/>
      <c r="G140" s="8"/>
      <c r="H140" s="8"/>
      <c r="I140" s="10"/>
      <c r="J140" s="10"/>
      <c r="K140" s="9"/>
      <c r="L140" s="9"/>
      <c r="M140" s="9"/>
      <c r="N140"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40" s="9"/>
      <c r="P140" s="9"/>
      <c r="Q140" s="8"/>
      <c r="R140" s="38"/>
      <c r="S140" s="38"/>
      <c r="T140" s="38"/>
      <c r="U140" s="38"/>
      <c r="V140" s="38"/>
      <c r="W140" s="38"/>
      <c r="X140" s="38"/>
      <c r="Y140"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40" s="38"/>
      <c r="AA140"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40" s="8"/>
      <c r="AC140" s="203"/>
      <c r="AD140"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40"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40" s="503"/>
      <c r="AG140" s="44"/>
      <c r="AH140" s="189" t="str">
        <f>IF(COUNTA(CCTSAS[[#This Row],[N°]:[heures annuelles
selon contrat(s)]])=0,"",REVEX!$E$9)</f>
        <v/>
      </c>
      <c r="AI140" s="73" t="str">
        <f>IF(CCTSAS[[#This Row],[Allocation fonctions]]="","",IF(ISNA(VLOOKUP(CCTSAS[[#This Row],[Allocation fonctions]],'Variable et Dropdowns'!H135:H151,1,FALSE))=TRUE,"Veuillez utiliser les allocations parmis la liste déroulante.",""))</f>
        <v/>
      </c>
    </row>
    <row r="141" spans="1:35" x14ac:dyDescent="0.25">
      <c r="A141" s="73" t="str">
        <f>IF(CCTSAS[[#This Row],[Carrière]]="","",IF(ISNA(VLOOKUP(CCTSAS[[#This Row],[Carrière]],DROPDOWN[Dropdown9],1,FALSE))=TRUE,"Carrière: Utiliser la liste déroulante",""))</f>
        <v/>
      </c>
      <c r="B141" s="8"/>
      <c r="C141" s="8"/>
      <c r="D141" s="8"/>
      <c r="E141" s="21"/>
      <c r="F141" s="64"/>
      <c r="G141" s="8"/>
      <c r="H141" s="8"/>
      <c r="I141" s="10"/>
      <c r="J141" s="10"/>
      <c r="K141" s="9"/>
      <c r="L141" s="9"/>
      <c r="M141" s="9"/>
      <c r="N141"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41" s="9"/>
      <c r="P141" s="9"/>
      <c r="Q141" s="8"/>
      <c r="R141" s="38"/>
      <c r="S141" s="38"/>
      <c r="T141" s="38"/>
      <c r="U141" s="38"/>
      <c r="V141" s="38"/>
      <c r="W141" s="38"/>
      <c r="X141" s="38"/>
      <c r="Y141"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41" s="38"/>
      <c r="AA141"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41" s="8"/>
      <c r="AC141" s="203"/>
      <c r="AD141"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41"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41" s="503"/>
      <c r="AG141" s="44"/>
      <c r="AH141" s="189" t="str">
        <f>IF(COUNTA(CCTSAS[[#This Row],[N°]:[heures annuelles
selon contrat(s)]])=0,"",REVEX!$E$9)</f>
        <v/>
      </c>
      <c r="AI141" s="73" t="str">
        <f>IF(CCTSAS[[#This Row],[Allocation fonctions]]="","",IF(ISNA(VLOOKUP(CCTSAS[[#This Row],[Allocation fonctions]],'Variable et Dropdowns'!H136:H152,1,FALSE))=TRUE,"Veuillez utiliser les allocations parmis la liste déroulante.",""))</f>
        <v/>
      </c>
    </row>
    <row r="142" spans="1:35" x14ac:dyDescent="0.25">
      <c r="A142" s="73" t="str">
        <f>IF(CCTSAS[[#This Row],[Carrière]]="","",IF(ISNA(VLOOKUP(CCTSAS[[#This Row],[Carrière]],DROPDOWN[Dropdown9],1,FALSE))=TRUE,"Carrière: Utiliser la liste déroulante",""))</f>
        <v/>
      </c>
      <c r="B142" s="8"/>
      <c r="C142" s="8"/>
      <c r="D142" s="8"/>
      <c r="E142" s="21"/>
      <c r="F142" s="64"/>
      <c r="G142" s="8"/>
      <c r="H142" s="8"/>
      <c r="I142" s="10"/>
      <c r="J142" s="10"/>
      <c r="K142" s="9"/>
      <c r="L142" s="9"/>
      <c r="M142" s="9"/>
      <c r="N142"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42" s="9"/>
      <c r="P142" s="9"/>
      <c r="Q142" s="8"/>
      <c r="R142" s="38"/>
      <c r="S142" s="38"/>
      <c r="T142" s="38"/>
      <c r="U142" s="38"/>
      <c r="V142" s="38"/>
      <c r="W142" s="38"/>
      <c r="X142" s="38"/>
      <c r="Y142"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42" s="38"/>
      <c r="AA142"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42" s="8"/>
      <c r="AC142" s="203"/>
      <c r="AD142"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42"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42" s="503"/>
      <c r="AG142" s="44"/>
      <c r="AH142" s="189" t="str">
        <f>IF(COUNTA(CCTSAS[[#This Row],[N°]:[heures annuelles
selon contrat(s)]])=0,"",REVEX!$E$9)</f>
        <v/>
      </c>
      <c r="AI142" s="73" t="str">
        <f>IF(CCTSAS[[#This Row],[Allocation fonctions]]="","",IF(ISNA(VLOOKUP(CCTSAS[[#This Row],[Allocation fonctions]],'Variable et Dropdowns'!H137:H153,1,FALSE))=TRUE,"Veuillez utiliser les allocations parmis la liste déroulante.",""))</f>
        <v/>
      </c>
    </row>
    <row r="143" spans="1:35" x14ac:dyDescent="0.25">
      <c r="A143" s="73" t="str">
        <f>IF(CCTSAS[[#This Row],[Carrière]]="","",IF(ISNA(VLOOKUP(CCTSAS[[#This Row],[Carrière]],DROPDOWN[Dropdown9],1,FALSE))=TRUE,"Carrière: Utiliser la liste déroulante",""))</f>
        <v/>
      </c>
      <c r="B143" s="8"/>
      <c r="C143" s="8"/>
      <c r="D143" s="8"/>
      <c r="E143" s="21"/>
      <c r="F143" s="64"/>
      <c r="G143" s="8"/>
      <c r="H143" s="8"/>
      <c r="I143" s="10"/>
      <c r="J143" s="10"/>
      <c r="K143" s="9"/>
      <c r="L143" s="9"/>
      <c r="M143" s="9"/>
      <c r="N143"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43" s="9"/>
      <c r="P143" s="9"/>
      <c r="Q143" s="8"/>
      <c r="R143" s="38"/>
      <c r="S143" s="38"/>
      <c r="T143" s="38"/>
      <c r="U143" s="38"/>
      <c r="V143" s="38"/>
      <c r="W143" s="38"/>
      <c r="X143" s="38"/>
      <c r="Y143"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43" s="38"/>
      <c r="AA143"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43" s="8"/>
      <c r="AC143" s="203"/>
      <c r="AD143"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43"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43" s="503"/>
      <c r="AG143" s="44"/>
      <c r="AH143" s="189" t="str">
        <f>IF(COUNTA(CCTSAS[[#This Row],[N°]:[heures annuelles
selon contrat(s)]])=0,"",REVEX!$E$9)</f>
        <v/>
      </c>
      <c r="AI143" s="73" t="str">
        <f>IF(CCTSAS[[#This Row],[Allocation fonctions]]="","",IF(ISNA(VLOOKUP(CCTSAS[[#This Row],[Allocation fonctions]],'Variable et Dropdowns'!H138:H154,1,FALSE))=TRUE,"Veuillez utiliser les allocations parmis la liste déroulante.",""))</f>
        <v/>
      </c>
    </row>
    <row r="144" spans="1:35" x14ac:dyDescent="0.25">
      <c r="A144" s="73" t="str">
        <f>IF(CCTSAS[[#This Row],[Carrière]]="","",IF(ISNA(VLOOKUP(CCTSAS[[#This Row],[Carrière]],DROPDOWN[Dropdown9],1,FALSE))=TRUE,"Carrière: Utiliser la liste déroulante",""))</f>
        <v/>
      </c>
      <c r="B144" s="8"/>
      <c r="C144" s="8"/>
      <c r="D144" s="8"/>
      <c r="E144" s="21"/>
      <c r="F144" s="64"/>
      <c r="G144" s="8"/>
      <c r="H144" s="8"/>
      <c r="I144" s="10"/>
      <c r="J144" s="10"/>
      <c r="K144" s="9"/>
      <c r="L144" s="9"/>
      <c r="M144" s="9"/>
      <c r="N144"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44" s="9"/>
      <c r="P144" s="9"/>
      <c r="Q144" s="8"/>
      <c r="R144" s="38"/>
      <c r="S144" s="38"/>
      <c r="T144" s="38"/>
      <c r="U144" s="38"/>
      <c r="V144" s="38"/>
      <c r="W144" s="38"/>
      <c r="X144" s="38"/>
      <c r="Y144"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44" s="38"/>
      <c r="AA144"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44" s="8"/>
      <c r="AC144" s="203"/>
      <c r="AD144"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44"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44" s="503"/>
      <c r="AG144" s="44"/>
      <c r="AH144" s="189" t="str">
        <f>IF(COUNTA(CCTSAS[[#This Row],[N°]:[heures annuelles
selon contrat(s)]])=0,"",REVEX!$E$9)</f>
        <v/>
      </c>
      <c r="AI144" s="73" t="str">
        <f>IF(CCTSAS[[#This Row],[Allocation fonctions]]="","",IF(ISNA(VLOOKUP(CCTSAS[[#This Row],[Allocation fonctions]],'Variable et Dropdowns'!H139:H155,1,FALSE))=TRUE,"Veuillez utiliser les allocations parmis la liste déroulante.",""))</f>
        <v/>
      </c>
    </row>
    <row r="145" spans="1:35" x14ac:dyDescent="0.25">
      <c r="A145" s="73" t="str">
        <f>IF(CCTSAS[[#This Row],[Carrière]]="","",IF(ISNA(VLOOKUP(CCTSAS[[#This Row],[Carrière]],DROPDOWN[Dropdown9],1,FALSE))=TRUE,"Carrière: Utiliser la liste déroulante",""))</f>
        <v/>
      </c>
      <c r="B145" s="8"/>
      <c r="C145" s="8"/>
      <c r="D145" s="8"/>
      <c r="E145" s="21"/>
      <c r="F145" s="64"/>
      <c r="G145" s="8"/>
      <c r="H145" s="8"/>
      <c r="I145" s="10"/>
      <c r="J145" s="10"/>
      <c r="K145" s="9"/>
      <c r="L145" s="9"/>
      <c r="M145" s="9"/>
      <c r="N145"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45" s="9"/>
      <c r="P145" s="9"/>
      <c r="Q145" s="8"/>
      <c r="R145" s="38"/>
      <c r="S145" s="38"/>
      <c r="T145" s="38"/>
      <c r="U145" s="38"/>
      <c r="V145" s="38"/>
      <c r="W145" s="38"/>
      <c r="X145" s="38"/>
      <c r="Y145"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45" s="38"/>
      <c r="AA145"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45" s="8"/>
      <c r="AC145" s="203"/>
      <c r="AD145"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45"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45" s="503"/>
      <c r="AG145" s="44"/>
      <c r="AH145" s="189" t="str">
        <f>IF(COUNTA(CCTSAS[[#This Row],[N°]:[heures annuelles
selon contrat(s)]])=0,"",REVEX!$E$9)</f>
        <v/>
      </c>
      <c r="AI145" s="73" t="str">
        <f>IF(CCTSAS[[#This Row],[Allocation fonctions]]="","",IF(ISNA(VLOOKUP(CCTSAS[[#This Row],[Allocation fonctions]],'Variable et Dropdowns'!H140:H156,1,FALSE))=TRUE,"Veuillez utiliser les allocations parmis la liste déroulante.",""))</f>
        <v/>
      </c>
    </row>
    <row r="146" spans="1:35" x14ac:dyDescent="0.25">
      <c r="A146" s="73" t="str">
        <f>IF(CCTSAS[[#This Row],[Carrière]]="","",IF(ISNA(VLOOKUP(CCTSAS[[#This Row],[Carrière]],DROPDOWN[Dropdown9],1,FALSE))=TRUE,"Carrière: Utiliser la liste déroulante",""))</f>
        <v/>
      </c>
      <c r="B146" s="8"/>
      <c r="C146" s="8"/>
      <c r="D146" s="8"/>
      <c r="E146" s="21"/>
      <c r="F146" s="64"/>
      <c r="G146" s="8"/>
      <c r="H146" s="8"/>
      <c r="I146" s="10"/>
      <c r="J146" s="10"/>
      <c r="K146" s="9"/>
      <c r="L146" s="9"/>
      <c r="M146" s="9"/>
      <c r="N146"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46" s="9"/>
      <c r="P146" s="9"/>
      <c r="Q146" s="8"/>
      <c r="R146" s="38"/>
      <c r="S146" s="38"/>
      <c r="T146" s="38"/>
      <c r="U146" s="38"/>
      <c r="V146" s="38"/>
      <c r="W146" s="38"/>
      <c r="X146" s="38"/>
      <c r="Y146"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46" s="38"/>
      <c r="AA146"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46" s="8"/>
      <c r="AC146" s="203"/>
      <c r="AD146"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46"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46" s="503"/>
      <c r="AG146" s="44"/>
      <c r="AH146" s="189" t="str">
        <f>IF(COUNTA(CCTSAS[[#This Row],[N°]:[heures annuelles
selon contrat(s)]])=0,"",REVEX!$E$9)</f>
        <v/>
      </c>
      <c r="AI146" s="73" t="str">
        <f>IF(CCTSAS[[#This Row],[Allocation fonctions]]="","",IF(ISNA(VLOOKUP(CCTSAS[[#This Row],[Allocation fonctions]],'Variable et Dropdowns'!H141:H157,1,FALSE))=TRUE,"Veuillez utiliser les allocations parmis la liste déroulante.",""))</f>
        <v/>
      </c>
    </row>
    <row r="147" spans="1:35" x14ac:dyDescent="0.25">
      <c r="A147" s="73" t="str">
        <f>IF(CCTSAS[[#This Row],[Carrière]]="","",IF(ISNA(VLOOKUP(CCTSAS[[#This Row],[Carrière]],DROPDOWN[Dropdown9],1,FALSE))=TRUE,"Carrière: Utiliser la liste déroulante",""))</f>
        <v/>
      </c>
      <c r="B147" s="8"/>
      <c r="C147" s="8"/>
      <c r="D147" s="8"/>
      <c r="E147" s="21"/>
      <c r="F147" s="64"/>
      <c r="G147" s="8"/>
      <c r="H147" s="8"/>
      <c r="I147" s="10"/>
      <c r="J147" s="10"/>
      <c r="K147" s="9"/>
      <c r="L147" s="9"/>
      <c r="M147" s="9"/>
      <c r="N147"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47" s="9"/>
      <c r="P147" s="9"/>
      <c r="Q147" s="8"/>
      <c r="R147" s="38"/>
      <c r="S147" s="38"/>
      <c r="T147" s="38"/>
      <c r="U147" s="38"/>
      <c r="V147" s="38"/>
      <c r="W147" s="38"/>
      <c r="X147" s="38"/>
      <c r="Y147"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47" s="38"/>
      <c r="AA147"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47" s="8"/>
      <c r="AC147" s="203"/>
      <c r="AD147"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47"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47" s="503"/>
      <c r="AG147" s="44"/>
      <c r="AH147" s="189" t="str">
        <f>IF(COUNTA(CCTSAS[[#This Row],[N°]:[heures annuelles
selon contrat(s)]])=0,"",REVEX!$E$9)</f>
        <v/>
      </c>
      <c r="AI147" s="73" t="str">
        <f>IF(CCTSAS[[#This Row],[Allocation fonctions]]="","",IF(ISNA(VLOOKUP(CCTSAS[[#This Row],[Allocation fonctions]],'Variable et Dropdowns'!H142:H158,1,FALSE))=TRUE,"Veuillez utiliser les allocations parmis la liste déroulante.",""))</f>
        <v/>
      </c>
    </row>
    <row r="148" spans="1:35" x14ac:dyDescent="0.25">
      <c r="A148" s="73" t="str">
        <f>IF(CCTSAS[[#This Row],[Carrière]]="","",IF(ISNA(VLOOKUP(CCTSAS[[#This Row],[Carrière]],DROPDOWN[Dropdown9],1,FALSE))=TRUE,"Carrière: Utiliser la liste déroulante",""))</f>
        <v/>
      </c>
      <c r="B148" s="8"/>
      <c r="C148" s="8"/>
      <c r="D148" s="8"/>
      <c r="E148" s="21"/>
      <c r="F148" s="64"/>
      <c r="G148" s="8"/>
      <c r="H148" s="8"/>
      <c r="I148" s="10"/>
      <c r="J148" s="10"/>
      <c r="K148" s="9"/>
      <c r="L148" s="9"/>
      <c r="M148" s="9"/>
      <c r="N148"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48" s="9"/>
      <c r="P148" s="9"/>
      <c r="Q148" s="8"/>
      <c r="R148" s="38"/>
      <c r="S148" s="38"/>
      <c r="T148" s="38"/>
      <c r="U148" s="38"/>
      <c r="V148" s="38"/>
      <c r="W148" s="38"/>
      <c r="X148" s="38"/>
      <c r="Y148"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48" s="38"/>
      <c r="AA148"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48" s="8"/>
      <c r="AC148" s="203"/>
      <c r="AD148"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48"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48" s="503"/>
      <c r="AG148" s="44"/>
      <c r="AH148" s="189" t="str">
        <f>IF(COUNTA(CCTSAS[[#This Row],[N°]:[heures annuelles
selon contrat(s)]])=0,"",REVEX!$E$9)</f>
        <v/>
      </c>
      <c r="AI148" s="73" t="str">
        <f>IF(CCTSAS[[#This Row],[Allocation fonctions]]="","",IF(ISNA(VLOOKUP(CCTSAS[[#This Row],[Allocation fonctions]],'Variable et Dropdowns'!H143:H159,1,FALSE))=TRUE,"Veuillez utiliser les allocations parmis la liste déroulante.",""))</f>
        <v/>
      </c>
    </row>
    <row r="149" spans="1:35" x14ac:dyDescent="0.25">
      <c r="A149" s="73" t="str">
        <f>IF(CCTSAS[[#This Row],[Carrière]]="","",IF(ISNA(VLOOKUP(CCTSAS[[#This Row],[Carrière]],DROPDOWN[Dropdown9],1,FALSE))=TRUE,"Carrière: Utiliser la liste déroulante",""))</f>
        <v/>
      </c>
      <c r="B149" s="8"/>
      <c r="C149" s="8"/>
      <c r="D149" s="8"/>
      <c r="E149" s="21"/>
      <c r="F149" s="64"/>
      <c r="G149" s="8"/>
      <c r="H149" s="8"/>
      <c r="I149" s="10"/>
      <c r="J149" s="10"/>
      <c r="K149" s="9"/>
      <c r="L149" s="9"/>
      <c r="M149" s="9"/>
      <c r="N149"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49" s="9"/>
      <c r="P149" s="9"/>
      <c r="Q149" s="8"/>
      <c r="R149" s="38"/>
      <c r="S149" s="38"/>
      <c r="T149" s="38"/>
      <c r="U149" s="38"/>
      <c r="V149" s="38"/>
      <c r="W149" s="38"/>
      <c r="X149" s="38"/>
      <c r="Y149"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49" s="38"/>
      <c r="AA149"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49" s="8"/>
      <c r="AC149" s="203"/>
      <c r="AD149"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49"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49" s="503"/>
      <c r="AG149" s="44"/>
      <c r="AH149" s="189" t="str">
        <f>IF(COUNTA(CCTSAS[[#This Row],[N°]:[heures annuelles
selon contrat(s)]])=0,"",REVEX!$E$9)</f>
        <v/>
      </c>
      <c r="AI149" s="73" t="str">
        <f>IF(CCTSAS[[#This Row],[Allocation fonctions]]="","",IF(ISNA(VLOOKUP(CCTSAS[[#This Row],[Allocation fonctions]],'Variable et Dropdowns'!H144:H160,1,FALSE))=TRUE,"Veuillez utiliser les allocations parmis la liste déroulante.",""))</f>
        <v/>
      </c>
    </row>
    <row r="150" spans="1:35" x14ac:dyDescent="0.25">
      <c r="A150" s="73" t="str">
        <f>IF(CCTSAS[[#This Row],[Carrière]]="","",IF(ISNA(VLOOKUP(CCTSAS[[#This Row],[Carrière]],DROPDOWN[Dropdown9],1,FALSE))=TRUE,"Carrière: Utiliser la liste déroulante",""))</f>
        <v/>
      </c>
      <c r="B150" s="8"/>
      <c r="C150" s="8"/>
      <c r="D150" s="8"/>
      <c r="E150" s="21"/>
      <c r="F150" s="64"/>
      <c r="G150" s="8"/>
      <c r="H150" s="8"/>
      <c r="I150" s="10"/>
      <c r="J150" s="10"/>
      <c r="K150" s="9"/>
      <c r="L150" s="9"/>
      <c r="M150" s="9"/>
      <c r="N150"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50" s="9"/>
      <c r="P150" s="9"/>
      <c r="Q150" s="8"/>
      <c r="R150" s="38"/>
      <c r="S150" s="38"/>
      <c r="T150" s="38"/>
      <c r="U150" s="38"/>
      <c r="V150" s="38"/>
      <c r="W150" s="38"/>
      <c r="X150" s="38"/>
      <c r="Y150"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50" s="38"/>
      <c r="AA150"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50" s="8"/>
      <c r="AC150" s="203"/>
      <c r="AD150"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50"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50" s="503"/>
      <c r="AG150" s="44"/>
      <c r="AH150" s="189" t="str">
        <f>IF(COUNTA(CCTSAS[[#This Row],[N°]:[heures annuelles
selon contrat(s)]])=0,"",REVEX!$E$9)</f>
        <v/>
      </c>
      <c r="AI150" s="73" t="str">
        <f>IF(CCTSAS[[#This Row],[Allocation fonctions]]="","",IF(ISNA(VLOOKUP(CCTSAS[[#This Row],[Allocation fonctions]],'Variable et Dropdowns'!H145:H161,1,FALSE))=TRUE,"Veuillez utiliser les allocations parmis la liste déroulante.",""))</f>
        <v/>
      </c>
    </row>
    <row r="151" spans="1:35" x14ac:dyDescent="0.25">
      <c r="A151" s="73" t="str">
        <f>IF(CCTSAS[[#This Row],[Carrière]]="","",IF(ISNA(VLOOKUP(CCTSAS[[#This Row],[Carrière]],DROPDOWN[Dropdown9],1,FALSE))=TRUE,"Carrière: Utiliser la liste déroulante",""))</f>
        <v/>
      </c>
      <c r="B151" s="8"/>
      <c r="C151" s="8"/>
      <c r="D151" s="8"/>
      <c r="E151" s="21"/>
      <c r="F151" s="64"/>
      <c r="G151" s="8"/>
      <c r="H151" s="8"/>
      <c r="I151" s="10"/>
      <c r="J151" s="10"/>
      <c r="K151" s="9"/>
      <c r="L151" s="9"/>
      <c r="M151" s="9"/>
      <c r="N151"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51" s="9"/>
      <c r="P151" s="9"/>
      <c r="Q151" s="8"/>
      <c r="R151" s="38"/>
      <c r="S151" s="38"/>
      <c r="T151" s="38"/>
      <c r="U151" s="38"/>
      <c r="V151" s="38"/>
      <c r="W151" s="38"/>
      <c r="X151" s="38"/>
      <c r="Y151"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51" s="38"/>
      <c r="AA151"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51" s="8"/>
      <c r="AC151" s="203"/>
      <c r="AD151"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51"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51" s="503"/>
      <c r="AG151" s="44"/>
      <c r="AH151" s="189" t="str">
        <f>IF(COUNTA(CCTSAS[[#This Row],[N°]:[heures annuelles
selon contrat(s)]])=0,"",REVEX!$E$9)</f>
        <v/>
      </c>
      <c r="AI151" s="73" t="str">
        <f>IF(CCTSAS[[#This Row],[Allocation fonctions]]="","",IF(ISNA(VLOOKUP(CCTSAS[[#This Row],[Allocation fonctions]],'Variable et Dropdowns'!H146:H162,1,FALSE))=TRUE,"Veuillez utiliser les allocations parmis la liste déroulante.",""))</f>
        <v/>
      </c>
    </row>
    <row r="152" spans="1:35" x14ac:dyDescent="0.25">
      <c r="A152" s="73" t="str">
        <f>IF(CCTSAS[[#This Row],[Carrière]]="","",IF(ISNA(VLOOKUP(CCTSAS[[#This Row],[Carrière]],DROPDOWN[Dropdown9],1,FALSE))=TRUE,"Carrière: Utiliser la liste déroulante",""))</f>
        <v/>
      </c>
      <c r="B152" s="8"/>
      <c r="C152" s="8"/>
      <c r="D152" s="8"/>
      <c r="E152" s="21"/>
      <c r="F152" s="64"/>
      <c r="G152" s="8"/>
      <c r="H152" s="8"/>
      <c r="I152" s="10"/>
      <c r="J152" s="10"/>
      <c r="K152" s="9"/>
      <c r="L152" s="9"/>
      <c r="M152" s="9"/>
      <c r="N152"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52" s="9"/>
      <c r="P152" s="9"/>
      <c r="Q152" s="8"/>
      <c r="R152" s="38"/>
      <c r="S152" s="38"/>
      <c r="T152" s="38"/>
      <c r="U152" s="38"/>
      <c r="V152" s="38"/>
      <c r="W152" s="38"/>
      <c r="X152" s="38"/>
      <c r="Y152"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52" s="38"/>
      <c r="AA152"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52" s="8"/>
      <c r="AC152" s="203"/>
      <c r="AD152"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52"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52" s="503"/>
      <c r="AG152" s="44"/>
      <c r="AH152" s="189" t="str">
        <f>IF(COUNTA(CCTSAS[[#This Row],[N°]:[heures annuelles
selon contrat(s)]])=0,"",REVEX!$E$9)</f>
        <v/>
      </c>
      <c r="AI152" s="73" t="str">
        <f>IF(CCTSAS[[#This Row],[Allocation fonctions]]="","",IF(ISNA(VLOOKUP(CCTSAS[[#This Row],[Allocation fonctions]],'Variable et Dropdowns'!H147:H163,1,FALSE))=TRUE,"Veuillez utiliser les allocations parmis la liste déroulante.",""))</f>
        <v/>
      </c>
    </row>
    <row r="153" spans="1:35" x14ac:dyDescent="0.25">
      <c r="A153" s="73" t="str">
        <f>IF(CCTSAS[[#This Row],[Carrière]]="","",IF(ISNA(VLOOKUP(CCTSAS[[#This Row],[Carrière]],DROPDOWN[Dropdown9],1,FALSE))=TRUE,"Carrière: Utiliser la liste déroulante",""))</f>
        <v/>
      </c>
      <c r="B153" s="8"/>
      <c r="C153" s="8"/>
      <c r="D153" s="8"/>
      <c r="E153" s="21"/>
      <c r="F153" s="64"/>
      <c r="G153" s="8"/>
      <c r="H153" s="8"/>
      <c r="I153" s="10"/>
      <c r="J153" s="10"/>
      <c r="K153" s="9"/>
      <c r="L153" s="9"/>
      <c r="M153" s="9"/>
      <c r="N153"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53" s="9"/>
      <c r="P153" s="9"/>
      <c r="Q153" s="8"/>
      <c r="R153" s="38"/>
      <c r="S153" s="38"/>
      <c r="T153" s="38"/>
      <c r="U153" s="38"/>
      <c r="V153" s="38"/>
      <c r="W153" s="38"/>
      <c r="X153" s="38"/>
      <c r="Y153"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53" s="38"/>
      <c r="AA153"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53" s="8"/>
      <c r="AC153" s="203"/>
      <c r="AD153"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53"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53" s="503"/>
      <c r="AG153" s="44"/>
      <c r="AH153" s="189" t="str">
        <f>IF(COUNTA(CCTSAS[[#This Row],[N°]:[heures annuelles
selon contrat(s)]])=0,"",REVEX!$E$9)</f>
        <v/>
      </c>
      <c r="AI153" s="73" t="str">
        <f>IF(CCTSAS[[#This Row],[Allocation fonctions]]="","",IF(ISNA(VLOOKUP(CCTSAS[[#This Row],[Allocation fonctions]],'Variable et Dropdowns'!H148:H164,1,FALSE))=TRUE,"Veuillez utiliser les allocations parmis la liste déroulante.",""))</f>
        <v/>
      </c>
    </row>
    <row r="154" spans="1:35" x14ac:dyDescent="0.25">
      <c r="A154" s="73" t="str">
        <f>IF(CCTSAS[[#This Row],[Carrière]]="","",IF(ISNA(VLOOKUP(CCTSAS[[#This Row],[Carrière]],DROPDOWN[Dropdown9],1,FALSE))=TRUE,"Carrière: Utiliser la liste déroulante",""))</f>
        <v/>
      </c>
      <c r="B154" s="8"/>
      <c r="C154" s="8"/>
      <c r="D154" s="8"/>
      <c r="E154" s="21"/>
      <c r="F154" s="64"/>
      <c r="G154" s="8"/>
      <c r="H154" s="8"/>
      <c r="I154" s="10"/>
      <c r="J154" s="10"/>
      <c r="K154" s="9"/>
      <c r="L154" s="9"/>
      <c r="M154" s="9"/>
      <c r="N154"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54" s="9"/>
      <c r="P154" s="9"/>
      <c r="Q154" s="8"/>
      <c r="R154" s="38"/>
      <c r="S154" s="38"/>
      <c r="T154" s="38"/>
      <c r="U154" s="38"/>
      <c r="V154" s="38"/>
      <c r="W154" s="38"/>
      <c r="X154" s="38"/>
      <c r="Y154"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54" s="38"/>
      <c r="AA154"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54" s="8"/>
      <c r="AC154" s="203"/>
      <c r="AD154"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54"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54" s="503"/>
      <c r="AG154" s="44"/>
      <c r="AH154" s="189" t="str">
        <f>IF(COUNTA(CCTSAS[[#This Row],[N°]:[heures annuelles
selon contrat(s)]])=0,"",REVEX!$E$9)</f>
        <v/>
      </c>
      <c r="AI154" s="73" t="str">
        <f>IF(CCTSAS[[#This Row],[Allocation fonctions]]="","",IF(ISNA(VLOOKUP(CCTSAS[[#This Row],[Allocation fonctions]],'Variable et Dropdowns'!H149:H165,1,FALSE))=TRUE,"Veuillez utiliser les allocations parmis la liste déroulante.",""))</f>
        <v/>
      </c>
    </row>
    <row r="155" spans="1:35" x14ac:dyDescent="0.25">
      <c r="A155" s="73" t="str">
        <f>IF(CCTSAS[[#This Row],[Carrière]]="","",IF(ISNA(VLOOKUP(CCTSAS[[#This Row],[Carrière]],DROPDOWN[Dropdown9],1,FALSE))=TRUE,"Carrière: Utiliser la liste déroulante",""))</f>
        <v/>
      </c>
      <c r="B155" s="8"/>
      <c r="C155" s="8"/>
      <c r="D155" s="8"/>
      <c r="E155" s="21"/>
      <c r="F155" s="64"/>
      <c r="G155" s="8"/>
      <c r="H155" s="8"/>
      <c r="I155" s="10"/>
      <c r="J155" s="10"/>
      <c r="K155" s="9"/>
      <c r="L155" s="9"/>
      <c r="M155" s="9"/>
      <c r="N155"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55" s="9"/>
      <c r="P155" s="9"/>
      <c r="Q155" s="8"/>
      <c r="R155" s="38"/>
      <c r="S155" s="38"/>
      <c r="T155" s="38"/>
      <c r="U155" s="38"/>
      <c r="V155" s="38"/>
      <c r="W155" s="38"/>
      <c r="X155" s="38"/>
      <c r="Y155"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55" s="38"/>
      <c r="AA155"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55" s="8"/>
      <c r="AC155" s="203"/>
      <c r="AD155"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55"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55" s="503"/>
      <c r="AG155" s="44"/>
      <c r="AH155" s="189" t="str">
        <f>IF(COUNTA(CCTSAS[[#This Row],[N°]:[heures annuelles
selon contrat(s)]])=0,"",REVEX!$E$9)</f>
        <v/>
      </c>
      <c r="AI155" s="73" t="str">
        <f>IF(CCTSAS[[#This Row],[Allocation fonctions]]="","",IF(ISNA(VLOOKUP(CCTSAS[[#This Row],[Allocation fonctions]],'Variable et Dropdowns'!H150:H166,1,FALSE))=TRUE,"Veuillez utiliser les allocations parmis la liste déroulante.",""))</f>
        <v/>
      </c>
    </row>
    <row r="156" spans="1:35" x14ac:dyDescent="0.25">
      <c r="A156" s="73" t="str">
        <f>IF(CCTSAS[[#This Row],[Carrière]]="","",IF(ISNA(VLOOKUP(CCTSAS[[#This Row],[Carrière]],DROPDOWN[Dropdown9],1,FALSE))=TRUE,"Carrière: Utiliser la liste déroulante",""))</f>
        <v/>
      </c>
      <c r="B156" s="8"/>
      <c r="C156" s="8"/>
      <c r="D156" s="8"/>
      <c r="E156" s="21"/>
      <c r="F156" s="64"/>
      <c r="G156" s="8"/>
      <c r="H156" s="8"/>
      <c r="I156" s="10"/>
      <c r="J156" s="10"/>
      <c r="K156" s="9"/>
      <c r="L156" s="9"/>
      <c r="M156" s="9"/>
      <c r="N156"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56" s="9"/>
      <c r="P156" s="9"/>
      <c r="Q156" s="8"/>
      <c r="R156" s="38"/>
      <c r="S156" s="38"/>
      <c r="T156" s="38"/>
      <c r="U156" s="38"/>
      <c r="V156" s="38"/>
      <c r="W156" s="38"/>
      <c r="X156" s="38"/>
      <c r="Y156"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56" s="38"/>
      <c r="AA156"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56" s="8"/>
      <c r="AC156" s="203"/>
      <c r="AD156"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56"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56" s="503"/>
      <c r="AG156" s="44"/>
      <c r="AH156" s="189" t="str">
        <f>IF(COUNTA(CCTSAS[[#This Row],[N°]:[heures annuelles
selon contrat(s)]])=0,"",REVEX!$E$9)</f>
        <v/>
      </c>
      <c r="AI156" s="73" t="str">
        <f>IF(CCTSAS[[#This Row],[Allocation fonctions]]="","",IF(ISNA(VLOOKUP(CCTSAS[[#This Row],[Allocation fonctions]],'Variable et Dropdowns'!H151:H167,1,FALSE))=TRUE,"Veuillez utiliser les allocations parmis la liste déroulante.",""))</f>
        <v/>
      </c>
    </row>
    <row r="157" spans="1:35" x14ac:dyDescent="0.25">
      <c r="A157" s="73" t="str">
        <f>IF(CCTSAS[[#This Row],[Carrière]]="","",IF(ISNA(VLOOKUP(CCTSAS[[#This Row],[Carrière]],DROPDOWN[Dropdown9],1,FALSE))=TRUE,"Carrière: Utiliser la liste déroulante",""))</f>
        <v/>
      </c>
      <c r="B157" s="8"/>
      <c r="C157" s="8"/>
      <c r="D157" s="8"/>
      <c r="E157" s="21"/>
      <c r="F157" s="64"/>
      <c r="G157" s="8"/>
      <c r="H157" s="8"/>
      <c r="I157" s="10"/>
      <c r="J157" s="10"/>
      <c r="K157" s="9"/>
      <c r="L157" s="9"/>
      <c r="M157" s="9"/>
      <c r="N157"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57" s="9"/>
      <c r="P157" s="9"/>
      <c r="Q157" s="8"/>
      <c r="R157" s="38"/>
      <c r="S157" s="38"/>
      <c r="T157" s="38"/>
      <c r="U157" s="38"/>
      <c r="V157" s="38"/>
      <c r="W157" s="38"/>
      <c r="X157" s="38"/>
      <c r="Y157"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57" s="38"/>
      <c r="AA157"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57" s="8"/>
      <c r="AC157" s="203"/>
      <c r="AD157"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57"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57" s="503"/>
      <c r="AG157" s="44"/>
      <c r="AH157" s="189" t="str">
        <f>IF(COUNTA(CCTSAS[[#This Row],[N°]:[heures annuelles
selon contrat(s)]])=0,"",REVEX!$E$9)</f>
        <v/>
      </c>
      <c r="AI157" s="73" t="str">
        <f>IF(CCTSAS[[#This Row],[Allocation fonctions]]="","",IF(ISNA(VLOOKUP(CCTSAS[[#This Row],[Allocation fonctions]],'Variable et Dropdowns'!H152:H168,1,FALSE))=TRUE,"Veuillez utiliser les allocations parmis la liste déroulante.",""))</f>
        <v/>
      </c>
    </row>
    <row r="158" spans="1:35" x14ac:dyDescent="0.25">
      <c r="A158" s="73" t="str">
        <f>IF(CCTSAS[[#This Row],[Carrière]]="","",IF(ISNA(VLOOKUP(CCTSAS[[#This Row],[Carrière]],DROPDOWN[Dropdown9],1,FALSE))=TRUE,"Carrière: Utiliser la liste déroulante",""))</f>
        <v/>
      </c>
      <c r="B158" s="8"/>
      <c r="C158" s="8"/>
      <c r="D158" s="8"/>
      <c r="E158" s="21"/>
      <c r="F158" s="64"/>
      <c r="G158" s="8"/>
      <c r="H158" s="8"/>
      <c r="I158" s="10"/>
      <c r="J158" s="10"/>
      <c r="K158" s="9"/>
      <c r="L158" s="9"/>
      <c r="M158" s="9"/>
      <c r="N158"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58" s="9"/>
      <c r="P158" s="9"/>
      <c r="Q158" s="8"/>
      <c r="R158" s="38"/>
      <c r="S158" s="38"/>
      <c r="T158" s="38"/>
      <c r="U158" s="38"/>
      <c r="V158" s="38"/>
      <c r="W158" s="38"/>
      <c r="X158" s="38"/>
      <c r="Y158"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58" s="38"/>
      <c r="AA158"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58" s="8"/>
      <c r="AC158" s="203"/>
      <c r="AD158"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58"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58" s="503"/>
      <c r="AG158" s="44"/>
      <c r="AH158" s="189" t="str">
        <f>IF(COUNTA(CCTSAS[[#This Row],[N°]:[heures annuelles
selon contrat(s)]])=0,"",REVEX!$E$9)</f>
        <v/>
      </c>
      <c r="AI158" s="73" t="str">
        <f>IF(CCTSAS[[#This Row],[Allocation fonctions]]="","",IF(ISNA(VLOOKUP(CCTSAS[[#This Row],[Allocation fonctions]],'Variable et Dropdowns'!H153:H169,1,FALSE))=TRUE,"Veuillez utiliser les allocations parmis la liste déroulante.",""))</f>
        <v/>
      </c>
    </row>
    <row r="159" spans="1:35" x14ac:dyDescent="0.25">
      <c r="A159" s="73" t="str">
        <f>IF(CCTSAS[[#This Row],[Carrière]]="","",IF(ISNA(VLOOKUP(CCTSAS[[#This Row],[Carrière]],DROPDOWN[Dropdown9],1,FALSE))=TRUE,"Carrière: Utiliser la liste déroulante",""))</f>
        <v/>
      </c>
      <c r="B159" s="8"/>
      <c r="C159" s="8"/>
      <c r="D159" s="8"/>
      <c r="E159" s="21"/>
      <c r="F159" s="64"/>
      <c r="G159" s="8"/>
      <c r="H159" s="8"/>
      <c r="I159" s="10"/>
      <c r="J159" s="10"/>
      <c r="K159" s="9"/>
      <c r="L159" s="9"/>
      <c r="M159" s="9"/>
      <c r="N159"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59" s="9"/>
      <c r="P159" s="9"/>
      <c r="Q159" s="8"/>
      <c r="R159" s="38"/>
      <c r="S159" s="38"/>
      <c r="T159" s="38"/>
      <c r="U159" s="38"/>
      <c r="V159" s="38"/>
      <c r="W159" s="38"/>
      <c r="X159" s="38"/>
      <c r="Y159"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59" s="38"/>
      <c r="AA159"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59" s="8"/>
      <c r="AC159" s="203"/>
      <c r="AD159"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59"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59" s="503"/>
      <c r="AG159" s="44"/>
      <c r="AH159" s="189" t="str">
        <f>IF(COUNTA(CCTSAS[[#This Row],[N°]:[heures annuelles
selon contrat(s)]])=0,"",REVEX!$E$9)</f>
        <v/>
      </c>
      <c r="AI159" s="73" t="str">
        <f>IF(CCTSAS[[#This Row],[Allocation fonctions]]="","",IF(ISNA(VLOOKUP(CCTSAS[[#This Row],[Allocation fonctions]],'Variable et Dropdowns'!H154:H170,1,FALSE))=TRUE,"Veuillez utiliser les allocations parmis la liste déroulante.",""))</f>
        <v/>
      </c>
    </row>
    <row r="160" spans="1:35" x14ac:dyDescent="0.25">
      <c r="A160" s="73" t="str">
        <f>IF(CCTSAS[[#This Row],[Carrière]]="","",IF(ISNA(VLOOKUP(CCTSAS[[#This Row],[Carrière]],DROPDOWN[Dropdown9],1,FALSE))=TRUE,"Carrière: Utiliser la liste déroulante",""))</f>
        <v/>
      </c>
      <c r="B160" s="8"/>
      <c r="C160" s="8"/>
      <c r="D160" s="8"/>
      <c r="E160" s="21"/>
      <c r="F160" s="64"/>
      <c r="G160" s="8"/>
      <c r="H160" s="8"/>
      <c r="I160" s="10"/>
      <c r="J160" s="10"/>
      <c r="K160" s="9"/>
      <c r="L160" s="9"/>
      <c r="M160" s="9"/>
      <c r="N160"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60" s="9"/>
      <c r="P160" s="9"/>
      <c r="Q160" s="8"/>
      <c r="R160" s="38"/>
      <c r="S160" s="38"/>
      <c r="T160" s="38"/>
      <c r="U160" s="38"/>
      <c r="V160" s="38"/>
      <c r="W160" s="38"/>
      <c r="X160" s="38"/>
      <c r="Y160"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60" s="38"/>
      <c r="AA160"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60" s="8"/>
      <c r="AC160" s="203"/>
      <c r="AD160"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60"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60" s="503"/>
      <c r="AG160" s="44"/>
      <c r="AH160" s="189" t="str">
        <f>IF(COUNTA(CCTSAS[[#This Row],[N°]:[heures annuelles
selon contrat(s)]])=0,"",REVEX!$E$9)</f>
        <v/>
      </c>
      <c r="AI160" s="73" t="str">
        <f>IF(CCTSAS[[#This Row],[Allocation fonctions]]="","",IF(ISNA(VLOOKUP(CCTSAS[[#This Row],[Allocation fonctions]],'Variable et Dropdowns'!H155:H171,1,FALSE))=TRUE,"Veuillez utiliser les allocations parmis la liste déroulante.",""))</f>
        <v/>
      </c>
    </row>
    <row r="161" spans="1:35" x14ac:dyDescent="0.25">
      <c r="A161" s="73" t="str">
        <f>IF(CCTSAS[[#This Row],[Carrière]]="","",IF(ISNA(VLOOKUP(CCTSAS[[#This Row],[Carrière]],DROPDOWN[Dropdown9],1,FALSE))=TRUE,"Carrière: Utiliser la liste déroulante",""))</f>
        <v/>
      </c>
      <c r="B161" s="8"/>
      <c r="C161" s="8"/>
      <c r="D161" s="8"/>
      <c r="E161" s="21"/>
      <c r="F161" s="64"/>
      <c r="G161" s="8"/>
      <c r="H161" s="8"/>
      <c r="I161" s="10"/>
      <c r="J161" s="10"/>
      <c r="K161" s="9"/>
      <c r="L161" s="9"/>
      <c r="M161" s="9"/>
      <c r="N161"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61" s="9"/>
      <c r="P161" s="9"/>
      <c r="Q161" s="8"/>
      <c r="R161" s="38"/>
      <c r="S161" s="38"/>
      <c r="T161" s="38"/>
      <c r="U161" s="38"/>
      <c r="V161" s="38"/>
      <c r="W161" s="38"/>
      <c r="X161" s="38"/>
      <c r="Y161"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61" s="38"/>
      <c r="AA161"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61" s="8"/>
      <c r="AC161" s="203"/>
      <c r="AD161"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61"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61" s="503"/>
      <c r="AG161" s="44"/>
      <c r="AH161" s="189" t="str">
        <f>IF(COUNTA(CCTSAS[[#This Row],[N°]:[heures annuelles
selon contrat(s)]])=0,"",REVEX!$E$9)</f>
        <v/>
      </c>
      <c r="AI161" s="73" t="str">
        <f>IF(CCTSAS[[#This Row],[Allocation fonctions]]="","",IF(ISNA(VLOOKUP(CCTSAS[[#This Row],[Allocation fonctions]],'Variable et Dropdowns'!H156:H172,1,FALSE))=TRUE,"Veuillez utiliser les allocations parmis la liste déroulante.",""))</f>
        <v/>
      </c>
    </row>
    <row r="162" spans="1:35" x14ac:dyDescent="0.25">
      <c r="A162" s="73" t="str">
        <f>IF(CCTSAS[[#This Row],[Carrière]]="","",IF(ISNA(VLOOKUP(CCTSAS[[#This Row],[Carrière]],DROPDOWN[Dropdown9],1,FALSE))=TRUE,"Carrière: Utiliser la liste déroulante",""))</f>
        <v/>
      </c>
      <c r="B162" s="8"/>
      <c r="C162" s="8"/>
      <c r="D162" s="8"/>
      <c r="E162" s="21"/>
      <c r="F162" s="64"/>
      <c r="G162" s="8"/>
      <c r="H162" s="8"/>
      <c r="I162" s="10"/>
      <c r="J162" s="10"/>
      <c r="K162" s="9"/>
      <c r="L162" s="9"/>
      <c r="M162" s="9"/>
      <c r="N162"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62" s="9"/>
      <c r="P162" s="9"/>
      <c r="Q162" s="8"/>
      <c r="R162" s="38"/>
      <c r="S162" s="38"/>
      <c r="T162" s="38"/>
      <c r="U162" s="38"/>
      <c r="V162" s="38"/>
      <c r="W162" s="38"/>
      <c r="X162" s="38"/>
      <c r="Y162"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62" s="38"/>
      <c r="AA162"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62" s="8"/>
      <c r="AC162" s="203"/>
      <c r="AD162"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62"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62" s="503"/>
      <c r="AG162" s="44"/>
      <c r="AH162" s="189" t="str">
        <f>IF(COUNTA(CCTSAS[[#This Row],[N°]:[heures annuelles
selon contrat(s)]])=0,"",REVEX!$E$9)</f>
        <v/>
      </c>
      <c r="AI162" s="73" t="str">
        <f>IF(CCTSAS[[#This Row],[Allocation fonctions]]="","",IF(ISNA(VLOOKUP(CCTSAS[[#This Row],[Allocation fonctions]],'Variable et Dropdowns'!H157:H173,1,FALSE))=TRUE,"Veuillez utiliser les allocations parmis la liste déroulante.",""))</f>
        <v/>
      </c>
    </row>
    <row r="163" spans="1:35" x14ac:dyDescent="0.25">
      <c r="A163" s="73" t="str">
        <f>IF(CCTSAS[[#This Row],[Carrière]]="","",IF(ISNA(VLOOKUP(CCTSAS[[#This Row],[Carrière]],DROPDOWN[Dropdown9],1,FALSE))=TRUE,"Carrière: Utiliser la liste déroulante",""))</f>
        <v/>
      </c>
      <c r="B163" s="8"/>
      <c r="C163" s="8"/>
      <c r="D163" s="8"/>
      <c r="E163" s="21"/>
      <c r="F163" s="64"/>
      <c r="G163" s="8"/>
      <c r="H163" s="8"/>
      <c r="I163" s="10"/>
      <c r="J163" s="10"/>
      <c r="K163" s="9"/>
      <c r="L163" s="9"/>
      <c r="M163" s="9"/>
      <c r="N163"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63" s="9"/>
      <c r="P163" s="9"/>
      <c r="Q163" s="8"/>
      <c r="R163" s="38"/>
      <c r="S163" s="38"/>
      <c r="T163" s="38"/>
      <c r="U163" s="38"/>
      <c r="V163" s="38"/>
      <c r="W163" s="38"/>
      <c r="X163" s="38"/>
      <c r="Y163"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63" s="38"/>
      <c r="AA163"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63" s="8"/>
      <c r="AC163" s="203"/>
      <c r="AD163"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63"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63" s="503"/>
      <c r="AG163" s="44"/>
      <c r="AH163" s="189" t="str">
        <f>IF(COUNTA(CCTSAS[[#This Row],[N°]:[heures annuelles
selon contrat(s)]])=0,"",REVEX!$E$9)</f>
        <v/>
      </c>
      <c r="AI163" s="73" t="str">
        <f>IF(CCTSAS[[#This Row],[Allocation fonctions]]="","",IF(ISNA(VLOOKUP(CCTSAS[[#This Row],[Allocation fonctions]],'Variable et Dropdowns'!H158:H174,1,FALSE))=TRUE,"Veuillez utiliser les allocations parmis la liste déroulante.",""))</f>
        <v/>
      </c>
    </row>
    <row r="164" spans="1:35" x14ac:dyDescent="0.25">
      <c r="A164" s="73" t="str">
        <f>IF(CCTSAS[[#This Row],[Carrière]]="","",IF(ISNA(VLOOKUP(CCTSAS[[#This Row],[Carrière]],DROPDOWN[Dropdown9],1,FALSE))=TRUE,"Carrière: Utiliser la liste déroulante",""))</f>
        <v/>
      </c>
      <c r="B164" s="8"/>
      <c r="C164" s="8"/>
      <c r="D164" s="8"/>
      <c r="E164" s="21"/>
      <c r="F164" s="64"/>
      <c r="G164" s="8"/>
      <c r="H164" s="8"/>
      <c r="I164" s="10"/>
      <c r="J164" s="10"/>
      <c r="K164" s="9"/>
      <c r="L164" s="9"/>
      <c r="M164" s="9"/>
      <c r="N164"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64" s="9"/>
      <c r="P164" s="9"/>
      <c r="Q164" s="8"/>
      <c r="R164" s="38"/>
      <c r="S164" s="38"/>
      <c r="T164" s="38"/>
      <c r="U164" s="38"/>
      <c r="V164" s="38"/>
      <c r="W164" s="38"/>
      <c r="X164" s="38"/>
      <c r="Y164"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64" s="38"/>
      <c r="AA164"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64" s="8"/>
      <c r="AC164" s="203"/>
      <c r="AD164"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64"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64" s="503"/>
      <c r="AG164" s="44"/>
      <c r="AH164" s="189" t="str">
        <f>IF(COUNTA(CCTSAS[[#This Row],[N°]:[heures annuelles
selon contrat(s)]])=0,"",REVEX!$E$9)</f>
        <v/>
      </c>
      <c r="AI164" s="73" t="str">
        <f>IF(CCTSAS[[#This Row],[Allocation fonctions]]="","",IF(ISNA(VLOOKUP(CCTSAS[[#This Row],[Allocation fonctions]],'Variable et Dropdowns'!H159:H175,1,FALSE))=TRUE,"Veuillez utiliser les allocations parmis la liste déroulante.",""))</f>
        <v/>
      </c>
    </row>
    <row r="165" spans="1:35" x14ac:dyDescent="0.25">
      <c r="A165" s="73" t="str">
        <f>IF(CCTSAS[[#This Row],[Carrière]]="","",IF(ISNA(VLOOKUP(CCTSAS[[#This Row],[Carrière]],DROPDOWN[Dropdown9],1,FALSE))=TRUE,"Carrière: Utiliser la liste déroulante",""))</f>
        <v/>
      </c>
      <c r="B165" s="8"/>
      <c r="C165" s="8"/>
      <c r="D165" s="8"/>
      <c r="E165" s="21"/>
      <c r="F165" s="64"/>
      <c r="G165" s="8"/>
      <c r="H165" s="8"/>
      <c r="I165" s="10"/>
      <c r="J165" s="10"/>
      <c r="K165" s="9"/>
      <c r="L165" s="9"/>
      <c r="M165" s="9"/>
      <c r="N165"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65" s="9"/>
      <c r="P165" s="9"/>
      <c r="Q165" s="8"/>
      <c r="R165" s="38"/>
      <c r="S165" s="38"/>
      <c r="T165" s="38"/>
      <c r="U165" s="38"/>
      <c r="V165" s="38"/>
      <c r="W165" s="38"/>
      <c r="X165" s="38"/>
      <c r="Y165"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65" s="38"/>
      <c r="AA165"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65" s="8"/>
      <c r="AC165" s="203"/>
      <c r="AD165"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65"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65" s="503"/>
      <c r="AG165" s="44"/>
      <c r="AH165" s="189" t="str">
        <f>IF(COUNTA(CCTSAS[[#This Row],[N°]:[heures annuelles
selon contrat(s)]])=0,"",REVEX!$E$9)</f>
        <v/>
      </c>
      <c r="AI165" s="73" t="str">
        <f>IF(CCTSAS[[#This Row],[Allocation fonctions]]="","",IF(ISNA(VLOOKUP(CCTSAS[[#This Row],[Allocation fonctions]],'Variable et Dropdowns'!H160:H176,1,FALSE))=TRUE,"Veuillez utiliser les allocations parmis la liste déroulante.",""))</f>
        <v/>
      </c>
    </row>
    <row r="166" spans="1:35" x14ac:dyDescent="0.25">
      <c r="A166" s="73" t="str">
        <f>IF(CCTSAS[[#This Row],[Carrière]]="","",IF(ISNA(VLOOKUP(CCTSAS[[#This Row],[Carrière]],DROPDOWN[Dropdown9],1,FALSE))=TRUE,"Carrière: Utiliser la liste déroulante",""))</f>
        <v/>
      </c>
      <c r="B166" s="8"/>
      <c r="C166" s="8"/>
      <c r="D166" s="8"/>
      <c r="E166" s="21"/>
      <c r="F166" s="64"/>
      <c r="G166" s="8"/>
      <c r="H166" s="8"/>
      <c r="I166" s="10"/>
      <c r="J166" s="10"/>
      <c r="K166" s="9"/>
      <c r="L166" s="9"/>
      <c r="M166" s="9"/>
      <c r="N166"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66" s="9"/>
      <c r="P166" s="9"/>
      <c r="Q166" s="8"/>
      <c r="R166" s="38"/>
      <c r="S166" s="38"/>
      <c r="T166" s="38"/>
      <c r="U166" s="38"/>
      <c r="V166" s="38"/>
      <c r="W166" s="38"/>
      <c r="X166" s="38"/>
      <c r="Y166"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66" s="38"/>
      <c r="AA166"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66" s="8"/>
      <c r="AC166" s="203"/>
      <c r="AD166"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66"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66" s="503"/>
      <c r="AG166" s="44"/>
      <c r="AH166" s="189" t="str">
        <f>IF(COUNTA(CCTSAS[[#This Row],[N°]:[heures annuelles
selon contrat(s)]])=0,"",REVEX!$E$9)</f>
        <v/>
      </c>
      <c r="AI166" s="73" t="str">
        <f>IF(CCTSAS[[#This Row],[Allocation fonctions]]="","",IF(ISNA(VLOOKUP(CCTSAS[[#This Row],[Allocation fonctions]],'Variable et Dropdowns'!H161:H177,1,FALSE))=TRUE,"Veuillez utiliser les allocations parmis la liste déroulante.",""))</f>
        <v/>
      </c>
    </row>
    <row r="167" spans="1:35" x14ac:dyDescent="0.25">
      <c r="A167" s="73" t="str">
        <f>IF(CCTSAS[[#This Row],[Carrière]]="","",IF(ISNA(VLOOKUP(CCTSAS[[#This Row],[Carrière]],DROPDOWN[Dropdown9],1,FALSE))=TRUE,"Carrière: Utiliser la liste déroulante",""))</f>
        <v/>
      </c>
      <c r="B167" s="8"/>
      <c r="C167" s="8"/>
      <c r="D167" s="8"/>
      <c r="E167" s="21"/>
      <c r="F167" s="64"/>
      <c r="G167" s="8"/>
      <c r="H167" s="8"/>
      <c r="I167" s="10"/>
      <c r="J167" s="10"/>
      <c r="K167" s="9"/>
      <c r="L167" s="9"/>
      <c r="M167" s="9"/>
      <c r="N167"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67" s="9"/>
      <c r="P167" s="9"/>
      <c r="Q167" s="8"/>
      <c r="R167" s="38"/>
      <c r="S167" s="38"/>
      <c r="T167" s="38"/>
      <c r="U167" s="38"/>
      <c r="V167" s="38"/>
      <c r="W167" s="38"/>
      <c r="X167" s="38"/>
      <c r="Y167"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67" s="38"/>
      <c r="AA167"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67" s="8"/>
      <c r="AC167" s="203"/>
      <c r="AD167"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67"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67" s="503"/>
      <c r="AG167" s="44"/>
      <c r="AH167" s="189" t="str">
        <f>IF(COUNTA(CCTSAS[[#This Row],[N°]:[heures annuelles
selon contrat(s)]])=0,"",REVEX!$E$9)</f>
        <v/>
      </c>
      <c r="AI167" s="73" t="str">
        <f>IF(CCTSAS[[#This Row],[Allocation fonctions]]="","",IF(ISNA(VLOOKUP(CCTSAS[[#This Row],[Allocation fonctions]],'Variable et Dropdowns'!H162:H178,1,FALSE))=TRUE,"Veuillez utiliser les allocations parmis la liste déroulante.",""))</f>
        <v/>
      </c>
    </row>
    <row r="168" spans="1:35" x14ac:dyDescent="0.25">
      <c r="A168" s="73" t="str">
        <f>IF(CCTSAS[[#This Row],[Carrière]]="","",IF(ISNA(VLOOKUP(CCTSAS[[#This Row],[Carrière]],DROPDOWN[Dropdown9],1,FALSE))=TRUE,"Carrière: Utiliser la liste déroulante",""))</f>
        <v/>
      </c>
      <c r="B168" s="8"/>
      <c r="C168" s="8"/>
      <c r="D168" s="8"/>
      <c r="E168" s="21"/>
      <c r="F168" s="64"/>
      <c r="G168" s="8"/>
      <c r="H168" s="8"/>
      <c r="I168" s="10"/>
      <c r="J168" s="10"/>
      <c r="K168" s="9"/>
      <c r="L168" s="9"/>
      <c r="M168" s="9"/>
      <c r="N168"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68" s="9"/>
      <c r="P168" s="9"/>
      <c r="Q168" s="8"/>
      <c r="R168" s="38"/>
      <c r="S168" s="38"/>
      <c r="T168" s="38"/>
      <c r="U168" s="38"/>
      <c r="V168" s="38"/>
      <c r="W168" s="38"/>
      <c r="X168" s="38"/>
      <c r="Y168"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68" s="38"/>
      <c r="AA168"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68" s="8"/>
      <c r="AC168" s="203"/>
      <c r="AD168"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68"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68" s="503"/>
      <c r="AG168" s="44"/>
      <c r="AH168" s="189" t="str">
        <f>IF(COUNTA(CCTSAS[[#This Row],[N°]:[heures annuelles
selon contrat(s)]])=0,"",REVEX!$E$9)</f>
        <v/>
      </c>
      <c r="AI168" s="73" t="str">
        <f>IF(CCTSAS[[#This Row],[Allocation fonctions]]="","",IF(ISNA(VLOOKUP(CCTSAS[[#This Row],[Allocation fonctions]],'Variable et Dropdowns'!H163:H179,1,FALSE))=TRUE,"Veuillez utiliser les allocations parmis la liste déroulante.",""))</f>
        <v/>
      </c>
    </row>
    <row r="169" spans="1:35" x14ac:dyDescent="0.25">
      <c r="A169" s="73" t="str">
        <f>IF(CCTSAS[[#This Row],[Carrière]]="","",IF(ISNA(VLOOKUP(CCTSAS[[#This Row],[Carrière]],DROPDOWN[Dropdown9],1,FALSE))=TRUE,"Carrière: Utiliser la liste déroulante",""))</f>
        <v/>
      </c>
      <c r="B169" s="8"/>
      <c r="C169" s="8"/>
      <c r="D169" s="8"/>
      <c r="E169" s="21"/>
      <c r="F169" s="64"/>
      <c r="G169" s="8"/>
      <c r="H169" s="8"/>
      <c r="I169" s="10"/>
      <c r="J169" s="10"/>
      <c r="K169" s="9"/>
      <c r="L169" s="9"/>
      <c r="M169" s="9"/>
      <c r="N169"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69" s="9"/>
      <c r="P169" s="9"/>
      <c r="Q169" s="8"/>
      <c r="R169" s="38"/>
      <c r="S169" s="38"/>
      <c r="T169" s="38"/>
      <c r="U169" s="38"/>
      <c r="V169" s="38"/>
      <c r="W169" s="38"/>
      <c r="X169" s="38"/>
      <c r="Y169"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69" s="38"/>
      <c r="AA169"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69" s="8"/>
      <c r="AC169" s="203"/>
      <c r="AD169"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69"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69" s="503"/>
      <c r="AG169" s="44"/>
      <c r="AH169" s="189" t="str">
        <f>IF(COUNTA(CCTSAS[[#This Row],[N°]:[heures annuelles
selon contrat(s)]])=0,"",REVEX!$E$9)</f>
        <v/>
      </c>
      <c r="AI169" s="73" t="str">
        <f>IF(CCTSAS[[#This Row],[Allocation fonctions]]="","",IF(ISNA(VLOOKUP(CCTSAS[[#This Row],[Allocation fonctions]],'Variable et Dropdowns'!H164:H180,1,FALSE))=TRUE,"Veuillez utiliser les allocations parmis la liste déroulante.",""))</f>
        <v/>
      </c>
    </row>
    <row r="170" spans="1:35" x14ac:dyDescent="0.25">
      <c r="A170" s="73" t="str">
        <f>IF(CCTSAS[[#This Row],[Carrière]]="","",IF(ISNA(VLOOKUP(CCTSAS[[#This Row],[Carrière]],DROPDOWN[Dropdown9],1,FALSE))=TRUE,"Carrière: Utiliser la liste déroulante",""))</f>
        <v/>
      </c>
      <c r="B170" s="8"/>
      <c r="C170" s="8"/>
      <c r="D170" s="8"/>
      <c r="E170" s="21"/>
      <c r="F170" s="64"/>
      <c r="G170" s="8"/>
      <c r="H170" s="8"/>
      <c r="I170" s="10"/>
      <c r="J170" s="10"/>
      <c r="K170" s="9"/>
      <c r="L170" s="9"/>
      <c r="M170" s="9"/>
      <c r="N170"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70" s="9"/>
      <c r="P170" s="9"/>
      <c r="Q170" s="8"/>
      <c r="R170" s="38"/>
      <c r="S170" s="38"/>
      <c r="T170" s="38"/>
      <c r="U170" s="38"/>
      <c r="V170" s="38"/>
      <c r="W170" s="38"/>
      <c r="X170" s="38"/>
      <c r="Y170"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70" s="38"/>
      <c r="AA170"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70" s="8"/>
      <c r="AC170" s="203"/>
      <c r="AD170"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70"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70" s="503"/>
      <c r="AG170" s="44"/>
      <c r="AH170" s="189" t="str">
        <f>IF(COUNTA(CCTSAS[[#This Row],[N°]:[heures annuelles
selon contrat(s)]])=0,"",REVEX!$E$9)</f>
        <v/>
      </c>
      <c r="AI170" s="73" t="str">
        <f>IF(CCTSAS[[#This Row],[Allocation fonctions]]="","",IF(ISNA(VLOOKUP(CCTSAS[[#This Row],[Allocation fonctions]],'Variable et Dropdowns'!H165:H181,1,FALSE))=TRUE,"Veuillez utiliser les allocations parmis la liste déroulante.",""))</f>
        <v/>
      </c>
    </row>
    <row r="171" spans="1:35" x14ac:dyDescent="0.25">
      <c r="A171" s="73" t="str">
        <f>IF(CCTSAS[[#This Row],[Carrière]]="","",IF(ISNA(VLOOKUP(CCTSAS[[#This Row],[Carrière]],DROPDOWN[Dropdown9],1,FALSE))=TRUE,"Carrière: Utiliser la liste déroulante",""))</f>
        <v/>
      </c>
      <c r="B171" s="8"/>
      <c r="C171" s="8"/>
      <c r="D171" s="8"/>
      <c r="E171" s="21"/>
      <c r="F171" s="64"/>
      <c r="G171" s="8"/>
      <c r="H171" s="8"/>
      <c r="I171" s="10"/>
      <c r="J171" s="10"/>
      <c r="K171" s="9"/>
      <c r="L171" s="9"/>
      <c r="M171" s="9"/>
      <c r="N171"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71" s="9"/>
      <c r="P171" s="9"/>
      <c r="Q171" s="8"/>
      <c r="R171" s="38"/>
      <c r="S171" s="38"/>
      <c r="T171" s="38"/>
      <c r="U171" s="38"/>
      <c r="V171" s="38"/>
      <c r="W171" s="38"/>
      <c r="X171" s="38"/>
      <c r="Y171"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71" s="38"/>
      <c r="AA171"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71" s="8"/>
      <c r="AC171" s="203"/>
      <c r="AD171"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71"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71" s="503"/>
      <c r="AG171" s="44"/>
      <c r="AH171" s="189" t="str">
        <f>IF(COUNTA(CCTSAS[[#This Row],[N°]:[heures annuelles
selon contrat(s)]])=0,"",REVEX!$E$9)</f>
        <v/>
      </c>
      <c r="AI171" s="73" t="str">
        <f>IF(CCTSAS[[#This Row],[Allocation fonctions]]="","",IF(ISNA(VLOOKUP(CCTSAS[[#This Row],[Allocation fonctions]],'Variable et Dropdowns'!H166:H182,1,FALSE))=TRUE,"Veuillez utiliser les allocations parmis la liste déroulante.",""))</f>
        <v/>
      </c>
    </row>
    <row r="172" spans="1:35" x14ac:dyDescent="0.25">
      <c r="A172" s="73" t="str">
        <f>IF(CCTSAS[[#This Row],[Carrière]]="","",IF(ISNA(VLOOKUP(CCTSAS[[#This Row],[Carrière]],DROPDOWN[Dropdown9],1,FALSE))=TRUE,"Carrière: Utiliser la liste déroulante",""))</f>
        <v/>
      </c>
      <c r="B172" s="8"/>
      <c r="C172" s="8"/>
      <c r="D172" s="8"/>
      <c r="E172" s="21"/>
      <c r="F172" s="64"/>
      <c r="G172" s="8"/>
      <c r="H172" s="8"/>
      <c r="I172" s="10"/>
      <c r="J172" s="10"/>
      <c r="K172" s="9"/>
      <c r="L172" s="9"/>
      <c r="M172" s="9"/>
      <c r="N172"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72" s="9"/>
      <c r="P172" s="9"/>
      <c r="Q172" s="8"/>
      <c r="R172" s="38"/>
      <c r="S172" s="38"/>
      <c r="T172" s="38"/>
      <c r="U172" s="38"/>
      <c r="V172" s="38"/>
      <c r="W172" s="38"/>
      <c r="X172" s="38"/>
      <c r="Y172"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72" s="38"/>
      <c r="AA172"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72" s="8"/>
      <c r="AC172" s="203"/>
      <c r="AD172"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72"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72" s="503"/>
      <c r="AG172" s="44"/>
      <c r="AH172" s="189" t="str">
        <f>IF(COUNTA(CCTSAS[[#This Row],[N°]:[heures annuelles
selon contrat(s)]])=0,"",REVEX!$E$9)</f>
        <v/>
      </c>
      <c r="AI172" s="73" t="str">
        <f>IF(CCTSAS[[#This Row],[Allocation fonctions]]="","",IF(ISNA(VLOOKUP(CCTSAS[[#This Row],[Allocation fonctions]],'Variable et Dropdowns'!H167:H183,1,FALSE))=TRUE,"Veuillez utiliser les allocations parmis la liste déroulante.",""))</f>
        <v/>
      </c>
    </row>
    <row r="173" spans="1:35" x14ac:dyDescent="0.25">
      <c r="A173" s="73" t="str">
        <f>IF(CCTSAS[[#This Row],[Carrière]]="","",IF(ISNA(VLOOKUP(CCTSAS[[#This Row],[Carrière]],DROPDOWN[Dropdown9],1,FALSE))=TRUE,"Carrière: Utiliser la liste déroulante",""))</f>
        <v/>
      </c>
      <c r="B173" s="8"/>
      <c r="C173" s="8"/>
      <c r="D173" s="8"/>
      <c r="E173" s="21"/>
      <c r="F173" s="64"/>
      <c r="G173" s="8"/>
      <c r="H173" s="8"/>
      <c r="I173" s="10"/>
      <c r="J173" s="10"/>
      <c r="K173" s="9"/>
      <c r="L173" s="9"/>
      <c r="M173" s="9"/>
      <c r="N173"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73" s="9"/>
      <c r="P173" s="9"/>
      <c r="Q173" s="8"/>
      <c r="R173" s="38"/>
      <c r="S173" s="38"/>
      <c r="T173" s="38"/>
      <c r="U173" s="38"/>
      <c r="V173" s="38"/>
      <c r="W173" s="38"/>
      <c r="X173" s="38"/>
      <c r="Y173"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73" s="38"/>
      <c r="AA173"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73" s="8"/>
      <c r="AC173" s="203"/>
      <c r="AD173"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73"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73" s="503"/>
      <c r="AG173" s="44"/>
      <c r="AH173" s="189" t="str">
        <f>IF(COUNTA(CCTSAS[[#This Row],[N°]:[heures annuelles
selon contrat(s)]])=0,"",REVEX!$E$9)</f>
        <v/>
      </c>
      <c r="AI173" s="73" t="str">
        <f>IF(CCTSAS[[#This Row],[Allocation fonctions]]="","",IF(ISNA(VLOOKUP(CCTSAS[[#This Row],[Allocation fonctions]],'Variable et Dropdowns'!H168:H184,1,FALSE))=TRUE,"Veuillez utiliser les allocations parmis la liste déroulante.",""))</f>
        <v/>
      </c>
    </row>
    <row r="174" spans="1:35" x14ac:dyDescent="0.25">
      <c r="A174" s="73" t="str">
        <f>IF(CCTSAS[[#This Row],[Carrière]]="","",IF(ISNA(VLOOKUP(CCTSAS[[#This Row],[Carrière]],DROPDOWN[Dropdown9],1,FALSE))=TRUE,"Carrière: Utiliser la liste déroulante",""))</f>
        <v/>
      </c>
      <c r="B174" s="8"/>
      <c r="C174" s="8"/>
      <c r="D174" s="8"/>
      <c r="E174" s="21"/>
      <c r="F174" s="64"/>
      <c r="G174" s="8"/>
      <c r="H174" s="8"/>
      <c r="I174" s="10"/>
      <c r="J174" s="10"/>
      <c r="K174" s="9"/>
      <c r="L174" s="9"/>
      <c r="M174" s="9"/>
      <c r="N174"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74" s="9"/>
      <c r="P174" s="9"/>
      <c r="Q174" s="8"/>
      <c r="R174" s="38"/>
      <c r="S174" s="38"/>
      <c r="T174" s="38"/>
      <c r="U174" s="38"/>
      <c r="V174" s="38"/>
      <c r="W174" s="38"/>
      <c r="X174" s="38"/>
      <c r="Y174"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74" s="38"/>
      <c r="AA174"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74" s="8"/>
      <c r="AC174" s="203"/>
      <c r="AD174"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74"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74" s="503"/>
      <c r="AG174" s="44"/>
      <c r="AH174" s="189" t="str">
        <f>IF(COUNTA(CCTSAS[[#This Row],[N°]:[heures annuelles
selon contrat(s)]])=0,"",REVEX!$E$9)</f>
        <v/>
      </c>
      <c r="AI174" s="73" t="str">
        <f>IF(CCTSAS[[#This Row],[Allocation fonctions]]="","",IF(ISNA(VLOOKUP(CCTSAS[[#This Row],[Allocation fonctions]],'Variable et Dropdowns'!H169:H185,1,FALSE))=TRUE,"Veuillez utiliser les allocations parmis la liste déroulante.",""))</f>
        <v/>
      </c>
    </row>
    <row r="175" spans="1:35" x14ac:dyDescent="0.25">
      <c r="A175" s="73" t="str">
        <f>IF(CCTSAS[[#This Row],[Carrière]]="","",IF(ISNA(VLOOKUP(CCTSAS[[#This Row],[Carrière]],DROPDOWN[Dropdown9],1,FALSE))=TRUE,"Carrière: Utiliser la liste déroulante",""))</f>
        <v/>
      </c>
      <c r="B175" s="8"/>
      <c r="C175" s="8"/>
      <c r="D175" s="8"/>
      <c r="E175" s="21"/>
      <c r="F175" s="64"/>
      <c r="G175" s="8"/>
      <c r="H175" s="8"/>
      <c r="I175" s="10"/>
      <c r="J175" s="10"/>
      <c r="K175" s="9"/>
      <c r="L175" s="9"/>
      <c r="M175" s="9"/>
      <c r="N175"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75" s="9"/>
      <c r="P175" s="9"/>
      <c r="Q175" s="8"/>
      <c r="R175" s="38"/>
      <c r="S175" s="38"/>
      <c r="T175" s="38"/>
      <c r="U175" s="38"/>
      <c r="V175" s="38"/>
      <c r="W175" s="38"/>
      <c r="X175" s="38"/>
      <c r="Y175"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75" s="38"/>
      <c r="AA175"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75" s="8"/>
      <c r="AC175" s="203"/>
      <c r="AD175"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75"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75" s="503"/>
      <c r="AG175" s="44"/>
      <c r="AH175" s="189" t="str">
        <f>IF(COUNTA(CCTSAS[[#This Row],[N°]:[heures annuelles
selon contrat(s)]])=0,"",REVEX!$E$9)</f>
        <v/>
      </c>
      <c r="AI175" s="73" t="str">
        <f>IF(CCTSAS[[#This Row],[Allocation fonctions]]="","",IF(ISNA(VLOOKUP(CCTSAS[[#This Row],[Allocation fonctions]],'Variable et Dropdowns'!H170:H186,1,FALSE))=TRUE,"Veuillez utiliser les allocations parmis la liste déroulante.",""))</f>
        <v/>
      </c>
    </row>
    <row r="176" spans="1:35" x14ac:dyDescent="0.25">
      <c r="A176" s="73" t="str">
        <f>IF(CCTSAS[[#This Row],[Carrière]]="","",IF(ISNA(VLOOKUP(CCTSAS[[#This Row],[Carrière]],DROPDOWN[Dropdown9],1,FALSE))=TRUE,"Carrière: Utiliser la liste déroulante",""))</f>
        <v/>
      </c>
      <c r="B176" s="8"/>
      <c r="C176" s="8"/>
      <c r="D176" s="8"/>
      <c r="E176" s="21"/>
      <c r="F176" s="64"/>
      <c r="G176" s="8"/>
      <c r="H176" s="8"/>
      <c r="I176" s="10"/>
      <c r="J176" s="10"/>
      <c r="K176" s="9"/>
      <c r="L176" s="9"/>
      <c r="M176" s="9"/>
      <c r="N176"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76" s="9"/>
      <c r="P176" s="9"/>
      <c r="Q176" s="8"/>
      <c r="R176" s="38"/>
      <c r="S176" s="38"/>
      <c r="T176" s="38"/>
      <c r="U176" s="38"/>
      <c r="V176" s="38"/>
      <c r="W176" s="38"/>
      <c r="X176" s="38"/>
      <c r="Y176"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76" s="38"/>
      <c r="AA176"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76" s="8"/>
      <c r="AC176" s="203"/>
      <c r="AD176"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76"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76" s="503"/>
      <c r="AG176" s="44"/>
      <c r="AH176" s="189" t="str">
        <f>IF(COUNTA(CCTSAS[[#This Row],[N°]:[heures annuelles
selon contrat(s)]])=0,"",REVEX!$E$9)</f>
        <v/>
      </c>
      <c r="AI176" s="73" t="str">
        <f>IF(CCTSAS[[#This Row],[Allocation fonctions]]="","",IF(ISNA(VLOOKUP(CCTSAS[[#This Row],[Allocation fonctions]],'Variable et Dropdowns'!H171:H187,1,FALSE))=TRUE,"Veuillez utiliser les allocations parmis la liste déroulante.",""))</f>
        <v/>
      </c>
    </row>
    <row r="177" spans="1:35" x14ac:dyDescent="0.25">
      <c r="A177" s="73" t="str">
        <f>IF(CCTSAS[[#This Row],[Carrière]]="","",IF(ISNA(VLOOKUP(CCTSAS[[#This Row],[Carrière]],DROPDOWN[Dropdown9],1,FALSE))=TRUE,"Carrière: Utiliser la liste déroulante",""))</f>
        <v/>
      </c>
      <c r="B177" s="8"/>
      <c r="C177" s="8"/>
      <c r="D177" s="8"/>
      <c r="E177" s="21"/>
      <c r="F177" s="64"/>
      <c r="G177" s="8"/>
      <c r="H177" s="8"/>
      <c r="I177" s="10"/>
      <c r="J177" s="10"/>
      <c r="K177" s="9"/>
      <c r="L177" s="9"/>
      <c r="M177" s="9"/>
      <c r="N177"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77" s="9"/>
      <c r="P177" s="9"/>
      <c r="Q177" s="8"/>
      <c r="R177" s="38"/>
      <c r="S177" s="38"/>
      <c r="T177" s="38"/>
      <c r="U177" s="38"/>
      <c r="V177" s="38"/>
      <c r="W177" s="38"/>
      <c r="X177" s="38"/>
      <c r="Y177"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77" s="38"/>
      <c r="AA177"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77" s="8"/>
      <c r="AC177" s="203"/>
      <c r="AD177"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77"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77" s="503"/>
      <c r="AG177" s="44"/>
      <c r="AH177" s="189" t="str">
        <f>IF(COUNTA(CCTSAS[[#This Row],[N°]:[heures annuelles
selon contrat(s)]])=0,"",REVEX!$E$9)</f>
        <v/>
      </c>
      <c r="AI177" s="73" t="str">
        <f>IF(CCTSAS[[#This Row],[Allocation fonctions]]="","",IF(ISNA(VLOOKUP(CCTSAS[[#This Row],[Allocation fonctions]],'Variable et Dropdowns'!H172:H188,1,FALSE))=TRUE,"Veuillez utiliser les allocations parmis la liste déroulante.",""))</f>
        <v/>
      </c>
    </row>
    <row r="178" spans="1:35" x14ac:dyDescent="0.25">
      <c r="A178" s="73" t="str">
        <f>IF(CCTSAS[[#This Row],[Carrière]]="","",IF(ISNA(VLOOKUP(CCTSAS[[#This Row],[Carrière]],DROPDOWN[Dropdown9],1,FALSE))=TRUE,"Carrière: Utiliser la liste déroulante",""))</f>
        <v/>
      </c>
      <c r="B178" s="8"/>
      <c r="C178" s="8"/>
      <c r="D178" s="8"/>
      <c r="E178" s="21"/>
      <c r="F178" s="64"/>
      <c r="G178" s="8"/>
      <c r="H178" s="8"/>
      <c r="I178" s="10"/>
      <c r="J178" s="10"/>
      <c r="K178" s="9"/>
      <c r="L178" s="9"/>
      <c r="M178" s="9"/>
      <c r="N178"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78" s="9"/>
      <c r="P178" s="9"/>
      <c r="Q178" s="8"/>
      <c r="R178" s="38"/>
      <c r="S178" s="38"/>
      <c r="T178" s="38"/>
      <c r="U178" s="38"/>
      <c r="V178" s="38"/>
      <c r="W178" s="38"/>
      <c r="X178" s="38"/>
      <c r="Y178"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78" s="38"/>
      <c r="AA178"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78" s="8"/>
      <c r="AC178" s="203"/>
      <c r="AD178"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78"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78" s="503"/>
      <c r="AG178" s="44"/>
      <c r="AH178" s="189" t="str">
        <f>IF(COUNTA(CCTSAS[[#This Row],[N°]:[heures annuelles
selon contrat(s)]])=0,"",REVEX!$E$9)</f>
        <v/>
      </c>
      <c r="AI178" s="73" t="str">
        <f>IF(CCTSAS[[#This Row],[Allocation fonctions]]="","",IF(ISNA(VLOOKUP(CCTSAS[[#This Row],[Allocation fonctions]],'Variable et Dropdowns'!H173:H189,1,FALSE))=TRUE,"Veuillez utiliser les allocations parmis la liste déroulante.",""))</f>
        <v/>
      </c>
    </row>
    <row r="179" spans="1:35" x14ac:dyDescent="0.25">
      <c r="A179" s="73" t="str">
        <f>IF(CCTSAS[[#This Row],[Carrière]]="","",IF(ISNA(VLOOKUP(CCTSAS[[#This Row],[Carrière]],DROPDOWN[Dropdown9],1,FALSE))=TRUE,"Carrière: Utiliser la liste déroulante",""))</f>
        <v/>
      </c>
      <c r="B179" s="8"/>
      <c r="C179" s="8"/>
      <c r="D179" s="8"/>
      <c r="E179" s="21"/>
      <c r="F179" s="64"/>
      <c r="G179" s="8"/>
      <c r="H179" s="8"/>
      <c r="I179" s="10"/>
      <c r="J179" s="10"/>
      <c r="K179" s="9"/>
      <c r="L179" s="9"/>
      <c r="M179" s="9"/>
      <c r="N179"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79" s="9"/>
      <c r="P179" s="9"/>
      <c r="Q179" s="8"/>
      <c r="R179" s="38"/>
      <c r="S179" s="38"/>
      <c r="T179" s="38"/>
      <c r="U179" s="38"/>
      <c r="V179" s="38"/>
      <c r="W179" s="38"/>
      <c r="X179" s="38"/>
      <c r="Y179"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79" s="38"/>
      <c r="AA179"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79" s="8"/>
      <c r="AC179" s="203"/>
      <c r="AD179"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79"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79" s="503"/>
      <c r="AG179" s="44"/>
      <c r="AH179" s="189" t="str">
        <f>IF(COUNTA(CCTSAS[[#This Row],[N°]:[heures annuelles
selon contrat(s)]])=0,"",REVEX!$E$9)</f>
        <v/>
      </c>
      <c r="AI179" s="73" t="str">
        <f>IF(CCTSAS[[#This Row],[Allocation fonctions]]="","",IF(ISNA(VLOOKUP(CCTSAS[[#This Row],[Allocation fonctions]],'Variable et Dropdowns'!H174:H190,1,FALSE))=TRUE,"Veuillez utiliser les allocations parmis la liste déroulante.",""))</f>
        <v/>
      </c>
    </row>
    <row r="180" spans="1:35" x14ac:dyDescent="0.25">
      <c r="A180" s="73" t="str">
        <f>IF(CCTSAS[[#This Row],[Carrière]]="","",IF(ISNA(VLOOKUP(CCTSAS[[#This Row],[Carrière]],DROPDOWN[Dropdown9],1,FALSE))=TRUE,"Carrière: Utiliser la liste déroulante",""))</f>
        <v/>
      </c>
      <c r="B180" s="8"/>
      <c r="C180" s="8"/>
      <c r="D180" s="8"/>
      <c r="E180" s="21"/>
      <c r="F180" s="64"/>
      <c r="G180" s="8"/>
      <c r="H180" s="8"/>
      <c r="I180" s="10"/>
      <c r="J180" s="10"/>
      <c r="K180" s="9"/>
      <c r="L180" s="9"/>
      <c r="M180" s="9"/>
      <c r="N180"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80" s="9"/>
      <c r="P180" s="9"/>
      <c r="Q180" s="8"/>
      <c r="R180" s="38"/>
      <c r="S180" s="38"/>
      <c r="T180" s="38"/>
      <c r="U180" s="38"/>
      <c r="V180" s="38"/>
      <c r="W180" s="38"/>
      <c r="X180" s="38"/>
      <c r="Y180"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80" s="38"/>
      <c r="AA180"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80" s="8"/>
      <c r="AC180" s="203"/>
      <c r="AD180"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80"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80" s="503"/>
      <c r="AG180" s="44"/>
      <c r="AH180" s="189" t="str">
        <f>IF(COUNTA(CCTSAS[[#This Row],[N°]:[heures annuelles
selon contrat(s)]])=0,"",REVEX!$E$9)</f>
        <v/>
      </c>
      <c r="AI180" s="73" t="str">
        <f>IF(CCTSAS[[#This Row],[Allocation fonctions]]="","",IF(ISNA(VLOOKUP(CCTSAS[[#This Row],[Allocation fonctions]],'Variable et Dropdowns'!H175:H191,1,FALSE))=TRUE,"Veuillez utiliser les allocations parmis la liste déroulante.",""))</f>
        <v/>
      </c>
    </row>
    <row r="181" spans="1:35" x14ac:dyDescent="0.25">
      <c r="A181" s="73" t="str">
        <f>IF(CCTSAS[[#This Row],[Carrière]]="","",IF(ISNA(VLOOKUP(CCTSAS[[#This Row],[Carrière]],DROPDOWN[Dropdown9],1,FALSE))=TRUE,"Carrière: Utiliser la liste déroulante",""))</f>
        <v/>
      </c>
      <c r="B181" s="8"/>
      <c r="C181" s="8"/>
      <c r="D181" s="8"/>
      <c r="E181" s="21"/>
      <c r="F181" s="64"/>
      <c r="G181" s="8"/>
      <c r="H181" s="8"/>
      <c r="I181" s="10"/>
      <c r="J181" s="10"/>
      <c r="K181" s="9"/>
      <c r="L181" s="9"/>
      <c r="M181" s="9"/>
      <c r="N181"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81" s="9"/>
      <c r="P181" s="9"/>
      <c r="Q181" s="8"/>
      <c r="R181" s="38"/>
      <c r="S181" s="38"/>
      <c r="T181" s="38"/>
      <c r="U181" s="38"/>
      <c r="V181" s="38"/>
      <c r="W181" s="38"/>
      <c r="X181" s="38"/>
      <c r="Y181"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81" s="38"/>
      <c r="AA181"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81" s="8"/>
      <c r="AC181" s="203"/>
      <c r="AD181"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81"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81" s="503"/>
      <c r="AG181" s="44"/>
      <c r="AH181" s="189" t="str">
        <f>IF(COUNTA(CCTSAS[[#This Row],[N°]:[heures annuelles
selon contrat(s)]])=0,"",REVEX!$E$9)</f>
        <v/>
      </c>
      <c r="AI181" s="73" t="str">
        <f>IF(CCTSAS[[#This Row],[Allocation fonctions]]="","",IF(ISNA(VLOOKUP(CCTSAS[[#This Row],[Allocation fonctions]],'Variable et Dropdowns'!H176:H192,1,FALSE))=TRUE,"Veuillez utiliser les allocations parmis la liste déroulante.",""))</f>
        <v/>
      </c>
    </row>
    <row r="182" spans="1:35" x14ac:dyDescent="0.25">
      <c r="A182" s="73" t="str">
        <f>IF(CCTSAS[[#This Row],[Carrière]]="","",IF(ISNA(VLOOKUP(CCTSAS[[#This Row],[Carrière]],DROPDOWN[Dropdown9],1,FALSE))=TRUE,"Carrière: Utiliser la liste déroulante",""))</f>
        <v/>
      </c>
      <c r="B182" s="8"/>
      <c r="C182" s="8"/>
      <c r="D182" s="8"/>
      <c r="E182" s="21"/>
      <c r="F182" s="64"/>
      <c r="G182" s="8"/>
      <c r="H182" s="8"/>
      <c r="I182" s="10"/>
      <c r="J182" s="10"/>
      <c r="K182" s="9"/>
      <c r="L182" s="9"/>
      <c r="M182" s="9"/>
      <c r="N182"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82" s="9"/>
      <c r="P182" s="9"/>
      <c r="Q182" s="8"/>
      <c r="R182" s="38"/>
      <c r="S182" s="38"/>
      <c r="T182" s="38"/>
      <c r="U182" s="38"/>
      <c r="V182" s="38"/>
      <c r="W182" s="38"/>
      <c r="X182" s="38"/>
      <c r="Y182"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82" s="38"/>
      <c r="AA182"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82" s="8"/>
      <c r="AC182" s="203"/>
      <c r="AD182"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82"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82" s="503"/>
      <c r="AG182" s="44"/>
      <c r="AH182" s="189" t="str">
        <f>IF(COUNTA(CCTSAS[[#This Row],[N°]:[heures annuelles
selon contrat(s)]])=0,"",REVEX!$E$9)</f>
        <v/>
      </c>
      <c r="AI182" s="73" t="str">
        <f>IF(CCTSAS[[#This Row],[Allocation fonctions]]="","",IF(ISNA(VLOOKUP(CCTSAS[[#This Row],[Allocation fonctions]],'Variable et Dropdowns'!H177:H193,1,FALSE))=TRUE,"Veuillez utiliser les allocations parmis la liste déroulante.",""))</f>
        <v/>
      </c>
    </row>
    <row r="183" spans="1:35" x14ac:dyDescent="0.25">
      <c r="A183" s="73" t="str">
        <f>IF(CCTSAS[[#This Row],[Carrière]]="","",IF(ISNA(VLOOKUP(CCTSAS[[#This Row],[Carrière]],DROPDOWN[Dropdown9],1,FALSE))=TRUE,"Carrière: Utiliser la liste déroulante",""))</f>
        <v/>
      </c>
      <c r="B183" s="8"/>
      <c r="C183" s="8"/>
      <c r="D183" s="8"/>
      <c r="E183" s="21"/>
      <c r="F183" s="64"/>
      <c r="G183" s="8"/>
      <c r="H183" s="8"/>
      <c r="I183" s="10"/>
      <c r="J183" s="10"/>
      <c r="K183" s="9"/>
      <c r="L183" s="9"/>
      <c r="M183" s="9"/>
      <c r="N183"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83" s="9"/>
      <c r="P183" s="9"/>
      <c r="Q183" s="8"/>
      <c r="R183" s="38"/>
      <c r="S183" s="38"/>
      <c r="T183" s="38"/>
      <c r="U183" s="38"/>
      <c r="V183" s="38"/>
      <c r="W183" s="38"/>
      <c r="X183" s="38"/>
      <c r="Y183"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83" s="38"/>
      <c r="AA183"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83" s="8"/>
      <c r="AC183" s="203"/>
      <c r="AD183"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83"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83" s="503"/>
      <c r="AG183" s="44"/>
      <c r="AH183" s="189" t="str">
        <f>IF(COUNTA(CCTSAS[[#This Row],[N°]:[heures annuelles
selon contrat(s)]])=0,"",REVEX!$E$9)</f>
        <v/>
      </c>
      <c r="AI183" s="73" t="str">
        <f>IF(CCTSAS[[#This Row],[Allocation fonctions]]="","",IF(ISNA(VLOOKUP(CCTSAS[[#This Row],[Allocation fonctions]],'Variable et Dropdowns'!H178:H194,1,FALSE))=TRUE,"Veuillez utiliser les allocations parmis la liste déroulante.",""))</f>
        <v/>
      </c>
    </row>
    <row r="184" spans="1:35" x14ac:dyDescent="0.25">
      <c r="A184" s="73" t="str">
        <f>IF(CCTSAS[[#This Row],[Carrière]]="","",IF(ISNA(VLOOKUP(CCTSAS[[#This Row],[Carrière]],DROPDOWN[Dropdown9],1,FALSE))=TRUE,"Carrière: Utiliser la liste déroulante",""))</f>
        <v/>
      </c>
      <c r="B184" s="8"/>
      <c r="C184" s="8"/>
      <c r="D184" s="8"/>
      <c r="E184" s="21"/>
      <c r="F184" s="64"/>
      <c r="G184" s="8"/>
      <c r="H184" s="8"/>
      <c r="I184" s="10"/>
      <c r="J184" s="10"/>
      <c r="K184" s="9"/>
      <c r="L184" s="9"/>
      <c r="M184" s="9"/>
      <c r="N184"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84" s="9"/>
      <c r="P184" s="9"/>
      <c r="Q184" s="8"/>
      <c r="R184" s="38"/>
      <c r="S184" s="38"/>
      <c r="T184" s="38"/>
      <c r="U184" s="38"/>
      <c r="V184" s="38"/>
      <c r="W184" s="38"/>
      <c r="X184" s="38"/>
      <c r="Y184"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84" s="38"/>
      <c r="AA184"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84" s="8"/>
      <c r="AC184" s="203"/>
      <c r="AD184"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84"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84" s="503"/>
      <c r="AG184" s="44"/>
      <c r="AH184" s="189" t="str">
        <f>IF(COUNTA(CCTSAS[[#This Row],[N°]:[heures annuelles
selon contrat(s)]])=0,"",REVEX!$E$9)</f>
        <v/>
      </c>
      <c r="AI184" s="73" t="str">
        <f>IF(CCTSAS[[#This Row],[Allocation fonctions]]="","",IF(ISNA(VLOOKUP(CCTSAS[[#This Row],[Allocation fonctions]],'Variable et Dropdowns'!H179:H195,1,FALSE))=TRUE,"Veuillez utiliser les allocations parmis la liste déroulante.",""))</f>
        <v/>
      </c>
    </row>
    <row r="185" spans="1:35" x14ac:dyDescent="0.25">
      <c r="A185" s="73" t="str">
        <f>IF(CCTSAS[[#This Row],[Carrière]]="","",IF(ISNA(VLOOKUP(CCTSAS[[#This Row],[Carrière]],DROPDOWN[Dropdown9],1,FALSE))=TRUE,"Carrière: Utiliser la liste déroulante",""))</f>
        <v/>
      </c>
      <c r="B185" s="8"/>
      <c r="C185" s="8"/>
      <c r="D185" s="8"/>
      <c r="E185" s="21"/>
      <c r="F185" s="64"/>
      <c r="G185" s="8"/>
      <c r="H185" s="8"/>
      <c r="I185" s="10"/>
      <c r="J185" s="10"/>
      <c r="K185" s="9"/>
      <c r="L185" s="9"/>
      <c r="M185" s="9"/>
      <c r="N185"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85" s="9"/>
      <c r="P185" s="9"/>
      <c r="Q185" s="8"/>
      <c r="R185" s="38"/>
      <c r="S185" s="38"/>
      <c r="T185" s="38"/>
      <c r="U185" s="38"/>
      <c r="V185" s="38"/>
      <c r="W185" s="38"/>
      <c r="X185" s="38"/>
      <c r="Y185"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85" s="38"/>
      <c r="AA185"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85" s="8"/>
      <c r="AC185" s="203"/>
      <c r="AD185"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85"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85" s="503"/>
      <c r="AG185" s="44"/>
      <c r="AH185" s="189" t="str">
        <f>IF(COUNTA(CCTSAS[[#This Row],[N°]:[heures annuelles
selon contrat(s)]])=0,"",REVEX!$E$9)</f>
        <v/>
      </c>
      <c r="AI185" s="73" t="str">
        <f>IF(CCTSAS[[#This Row],[Allocation fonctions]]="","",IF(ISNA(VLOOKUP(CCTSAS[[#This Row],[Allocation fonctions]],'Variable et Dropdowns'!H180:H196,1,FALSE))=TRUE,"Veuillez utiliser les allocations parmis la liste déroulante.",""))</f>
        <v/>
      </c>
    </row>
    <row r="186" spans="1:35" x14ac:dyDescent="0.25">
      <c r="A186" s="73" t="str">
        <f>IF(CCTSAS[[#This Row],[Carrière]]="","",IF(ISNA(VLOOKUP(CCTSAS[[#This Row],[Carrière]],DROPDOWN[Dropdown9],1,FALSE))=TRUE,"Carrière: Utiliser la liste déroulante",""))</f>
        <v/>
      </c>
      <c r="B186" s="8"/>
      <c r="C186" s="8"/>
      <c r="D186" s="8"/>
      <c r="E186" s="21"/>
      <c r="F186" s="64"/>
      <c r="G186" s="8"/>
      <c r="H186" s="8"/>
      <c r="I186" s="10"/>
      <c r="J186" s="10"/>
      <c r="K186" s="9"/>
      <c r="L186" s="9"/>
      <c r="M186" s="9"/>
      <c r="N186"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86" s="9"/>
      <c r="P186" s="9"/>
      <c r="Q186" s="8"/>
      <c r="R186" s="38"/>
      <c r="S186" s="38"/>
      <c r="T186" s="38"/>
      <c r="U186" s="38"/>
      <c r="V186" s="38"/>
      <c r="W186" s="38"/>
      <c r="X186" s="38"/>
      <c r="Y186"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86" s="38"/>
      <c r="AA186"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86" s="8"/>
      <c r="AC186" s="203"/>
      <c r="AD186"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86"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86" s="503"/>
      <c r="AG186" s="44"/>
      <c r="AH186" s="189" t="str">
        <f>IF(COUNTA(CCTSAS[[#This Row],[N°]:[heures annuelles
selon contrat(s)]])=0,"",REVEX!$E$9)</f>
        <v/>
      </c>
      <c r="AI186" s="73" t="str">
        <f>IF(CCTSAS[[#This Row],[Allocation fonctions]]="","",IF(ISNA(VLOOKUP(CCTSAS[[#This Row],[Allocation fonctions]],'Variable et Dropdowns'!H181:H197,1,FALSE))=TRUE,"Veuillez utiliser les allocations parmis la liste déroulante.",""))</f>
        <v/>
      </c>
    </row>
    <row r="187" spans="1:35" x14ac:dyDescent="0.25">
      <c r="A187" s="73" t="str">
        <f>IF(CCTSAS[[#This Row],[Carrière]]="","",IF(ISNA(VLOOKUP(CCTSAS[[#This Row],[Carrière]],DROPDOWN[Dropdown9],1,FALSE))=TRUE,"Carrière: Utiliser la liste déroulante",""))</f>
        <v/>
      </c>
      <c r="B187" s="8"/>
      <c r="C187" s="8"/>
      <c r="D187" s="8"/>
      <c r="E187" s="21"/>
      <c r="F187" s="64"/>
      <c r="G187" s="8"/>
      <c r="H187" s="8"/>
      <c r="I187" s="10"/>
      <c r="J187" s="10"/>
      <c r="K187" s="9"/>
      <c r="L187" s="9"/>
      <c r="M187" s="9"/>
      <c r="N187"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87" s="9"/>
      <c r="P187" s="9"/>
      <c r="Q187" s="8"/>
      <c r="R187" s="38"/>
      <c r="S187" s="38"/>
      <c r="T187" s="38"/>
      <c r="U187" s="38"/>
      <c r="V187" s="38"/>
      <c r="W187" s="38"/>
      <c r="X187" s="38"/>
      <c r="Y187"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87" s="38"/>
      <c r="AA187"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87" s="8"/>
      <c r="AC187" s="203"/>
      <c r="AD187"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87"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87" s="503"/>
      <c r="AG187" s="44"/>
      <c r="AH187" s="189" t="str">
        <f>IF(COUNTA(CCTSAS[[#This Row],[N°]:[heures annuelles
selon contrat(s)]])=0,"",REVEX!$E$9)</f>
        <v/>
      </c>
      <c r="AI187" s="73" t="str">
        <f>IF(CCTSAS[[#This Row],[Allocation fonctions]]="","",IF(ISNA(VLOOKUP(CCTSAS[[#This Row],[Allocation fonctions]],'Variable et Dropdowns'!H182:H198,1,FALSE))=TRUE,"Veuillez utiliser les allocations parmis la liste déroulante.",""))</f>
        <v/>
      </c>
    </row>
    <row r="188" spans="1:35" x14ac:dyDescent="0.25">
      <c r="A188" s="73" t="str">
        <f>IF(CCTSAS[[#This Row],[Carrière]]="","",IF(ISNA(VLOOKUP(CCTSAS[[#This Row],[Carrière]],DROPDOWN[Dropdown9],1,FALSE))=TRUE,"Carrière: Utiliser la liste déroulante",""))</f>
        <v/>
      </c>
      <c r="B188" s="8"/>
      <c r="C188" s="8"/>
      <c r="D188" s="8"/>
      <c r="E188" s="21"/>
      <c r="F188" s="64"/>
      <c r="G188" s="8"/>
      <c r="H188" s="8"/>
      <c r="I188" s="10"/>
      <c r="J188" s="10"/>
      <c r="K188" s="9"/>
      <c r="L188" s="9"/>
      <c r="M188" s="9"/>
      <c r="N188"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88" s="9"/>
      <c r="P188" s="9"/>
      <c r="Q188" s="8"/>
      <c r="R188" s="38"/>
      <c r="S188" s="38"/>
      <c r="T188" s="38"/>
      <c r="U188" s="38"/>
      <c r="V188" s="38"/>
      <c r="W188" s="38"/>
      <c r="X188" s="38"/>
      <c r="Y188"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88" s="38"/>
      <c r="AA188"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88" s="8"/>
      <c r="AC188" s="203"/>
      <c r="AD188"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88"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88" s="503"/>
      <c r="AG188" s="44"/>
      <c r="AH188" s="189" t="str">
        <f>IF(COUNTA(CCTSAS[[#This Row],[N°]:[heures annuelles
selon contrat(s)]])=0,"",REVEX!$E$9)</f>
        <v/>
      </c>
      <c r="AI188" s="73" t="str">
        <f>IF(CCTSAS[[#This Row],[Allocation fonctions]]="","",IF(ISNA(VLOOKUP(CCTSAS[[#This Row],[Allocation fonctions]],'Variable et Dropdowns'!H183:H199,1,FALSE))=TRUE,"Veuillez utiliser les allocations parmis la liste déroulante.",""))</f>
        <v/>
      </c>
    </row>
    <row r="189" spans="1:35" x14ac:dyDescent="0.25">
      <c r="A189" s="73" t="str">
        <f>IF(CCTSAS[[#This Row],[Carrière]]="","",IF(ISNA(VLOOKUP(CCTSAS[[#This Row],[Carrière]],DROPDOWN[Dropdown9],1,FALSE))=TRUE,"Carrière: Utiliser la liste déroulante",""))</f>
        <v/>
      </c>
      <c r="B189" s="8"/>
      <c r="C189" s="8"/>
      <c r="D189" s="8"/>
      <c r="E189" s="21"/>
      <c r="F189" s="64"/>
      <c r="G189" s="8"/>
      <c r="H189" s="8"/>
      <c r="I189" s="10"/>
      <c r="J189" s="10"/>
      <c r="K189" s="9"/>
      <c r="L189" s="9"/>
      <c r="M189" s="9"/>
      <c r="N189"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89" s="9"/>
      <c r="P189" s="9"/>
      <c r="Q189" s="8"/>
      <c r="R189" s="38"/>
      <c r="S189" s="38"/>
      <c r="T189" s="38"/>
      <c r="U189" s="38"/>
      <c r="V189" s="38"/>
      <c r="W189" s="38"/>
      <c r="X189" s="38"/>
      <c r="Y189"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89" s="38"/>
      <c r="AA189"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89" s="8"/>
      <c r="AC189" s="203"/>
      <c r="AD189"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89"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89" s="503"/>
      <c r="AG189" s="44"/>
      <c r="AH189" s="189" t="str">
        <f>IF(COUNTA(CCTSAS[[#This Row],[N°]:[heures annuelles
selon contrat(s)]])=0,"",REVEX!$E$9)</f>
        <v/>
      </c>
      <c r="AI189" s="73" t="str">
        <f>IF(CCTSAS[[#This Row],[Allocation fonctions]]="","",IF(ISNA(VLOOKUP(CCTSAS[[#This Row],[Allocation fonctions]],'Variable et Dropdowns'!H184:H200,1,FALSE))=TRUE,"Veuillez utiliser les allocations parmis la liste déroulante.",""))</f>
        <v/>
      </c>
    </row>
    <row r="190" spans="1:35" x14ac:dyDescent="0.25">
      <c r="A190" s="73" t="str">
        <f>IF(CCTSAS[[#This Row],[Carrière]]="","",IF(ISNA(VLOOKUP(CCTSAS[[#This Row],[Carrière]],DROPDOWN[Dropdown9],1,FALSE))=TRUE,"Carrière: Utiliser la liste déroulante",""))</f>
        <v/>
      </c>
      <c r="B190" s="8"/>
      <c r="C190" s="8"/>
      <c r="D190" s="8"/>
      <c r="E190" s="21"/>
      <c r="F190" s="64"/>
      <c r="G190" s="8"/>
      <c r="H190" s="8"/>
      <c r="I190" s="10"/>
      <c r="J190" s="10"/>
      <c r="K190" s="9"/>
      <c r="L190" s="9"/>
      <c r="M190" s="9"/>
      <c r="N190"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90" s="9"/>
      <c r="P190" s="9"/>
      <c r="Q190" s="8"/>
      <c r="R190" s="38"/>
      <c r="S190" s="38"/>
      <c r="T190" s="38"/>
      <c r="U190" s="38"/>
      <c r="V190" s="38"/>
      <c r="W190" s="38"/>
      <c r="X190" s="38"/>
      <c r="Y190"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90" s="38"/>
      <c r="AA190"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90" s="8"/>
      <c r="AC190" s="203"/>
      <c r="AD190"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90"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90" s="503"/>
      <c r="AG190" s="44"/>
      <c r="AH190" s="189" t="str">
        <f>IF(COUNTA(CCTSAS[[#This Row],[N°]:[heures annuelles
selon contrat(s)]])=0,"",REVEX!$E$9)</f>
        <v/>
      </c>
      <c r="AI190" s="73" t="str">
        <f>IF(CCTSAS[[#This Row],[Allocation fonctions]]="","",IF(ISNA(VLOOKUP(CCTSAS[[#This Row],[Allocation fonctions]],'Variable et Dropdowns'!H185:H201,1,FALSE))=TRUE,"Veuillez utiliser les allocations parmis la liste déroulante.",""))</f>
        <v/>
      </c>
    </row>
    <row r="191" spans="1:35" x14ac:dyDescent="0.25">
      <c r="A191" s="73" t="str">
        <f>IF(CCTSAS[[#This Row],[Carrière]]="","",IF(ISNA(VLOOKUP(CCTSAS[[#This Row],[Carrière]],DROPDOWN[Dropdown9],1,FALSE))=TRUE,"Carrière: Utiliser la liste déroulante",""))</f>
        <v/>
      </c>
      <c r="B191" s="8"/>
      <c r="C191" s="8"/>
      <c r="D191" s="8"/>
      <c r="E191" s="21"/>
      <c r="F191" s="64"/>
      <c r="G191" s="8"/>
      <c r="H191" s="8"/>
      <c r="I191" s="10"/>
      <c r="J191" s="10"/>
      <c r="K191" s="9"/>
      <c r="L191" s="9"/>
      <c r="M191" s="9"/>
      <c r="N191"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91" s="9"/>
      <c r="P191" s="9"/>
      <c r="Q191" s="8"/>
      <c r="R191" s="38"/>
      <c r="S191" s="38"/>
      <c r="T191" s="38"/>
      <c r="U191" s="38"/>
      <c r="V191" s="38"/>
      <c r="W191" s="38"/>
      <c r="X191" s="38"/>
      <c r="Y191"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91" s="38"/>
      <c r="AA191"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91" s="8"/>
      <c r="AC191" s="203"/>
      <c r="AD191"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91"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91" s="503"/>
      <c r="AG191" s="44"/>
      <c r="AH191" s="189" t="str">
        <f>IF(COUNTA(CCTSAS[[#This Row],[N°]:[heures annuelles
selon contrat(s)]])=0,"",REVEX!$E$9)</f>
        <v/>
      </c>
      <c r="AI191" s="73" t="str">
        <f>IF(CCTSAS[[#This Row],[Allocation fonctions]]="","",IF(ISNA(VLOOKUP(CCTSAS[[#This Row],[Allocation fonctions]],'Variable et Dropdowns'!H186:H202,1,FALSE))=TRUE,"Veuillez utiliser les allocations parmis la liste déroulante.",""))</f>
        <v/>
      </c>
    </row>
    <row r="192" spans="1:35" x14ac:dyDescent="0.25">
      <c r="A192" s="73" t="str">
        <f>IF(CCTSAS[[#This Row],[Carrière]]="","",IF(ISNA(VLOOKUP(CCTSAS[[#This Row],[Carrière]],DROPDOWN[Dropdown9],1,FALSE))=TRUE,"Carrière: Utiliser la liste déroulante",""))</f>
        <v/>
      </c>
      <c r="B192" s="8"/>
      <c r="C192" s="8"/>
      <c r="D192" s="8"/>
      <c r="E192" s="21"/>
      <c r="F192" s="64"/>
      <c r="G192" s="8"/>
      <c r="H192" s="8"/>
      <c r="I192" s="10"/>
      <c r="J192" s="10"/>
      <c r="K192" s="9"/>
      <c r="L192" s="9"/>
      <c r="M192" s="9"/>
      <c r="N192"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92" s="9"/>
      <c r="P192" s="9"/>
      <c r="Q192" s="8"/>
      <c r="R192" s="38"/>
      <c r="S192" s="38"/>
      <c r="T192" s="38"/>
      <c r="U192" s="38"/>
      <c r="V192" s="38"/>
      <c r="W192" s="38"/>
      <c r="X192" s="38"/>
      <c r="Y192"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92" s="38"/>
      <c r="AA192"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92" s="8"/>
      <c r="AC192" s="203"/>
      <c r="AD192"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92"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92" s="503"/>
      <c r="AG192" s="44"/>
      <c r="AH192" s="189" t="str">
        <f>IF(COUNTA(CCTSAS[[#This Row],[N°]:[heures annuelles
selon contrat(s)]])=0,"",REVEX!$E$9)</f>
        <v/>
      </c>
      <c r="AI192" s="73" t="str">
        <f>IF(CCTSAS[[#This Row],[Allocation fonctions]]="","",IF(ISNA(VLOOKUP(CCTSAS[[#This Row],[Allocation fonctions]],'Variable et Dropdowns'!H187:H203,1,FALSE))=TRUE,"Veuillez utiliser les allocations parmis la liste déroulante.",""))</f>
        <v/>
      </c>
    </row>
    <row r="193" spans="1:35" x14ac:dyDescent="0.25">
      <c r="A193" s="73" t="str">
        <f>IF(CCTSAS[[#This Row],[Carrière]]="","",IF(ISNA(VLOOKUP(CCTSAS[[#This Row],[Carrière]],DROPDOWN[Dropdown9],1,FALSE))=TRUE,"Carrière: Utiliser la liste déroulante",""))</f>
        <v/>
      </c>
      <c r="B193" s="8"/>
      <c r="C193" s="8"/>
      <c r="D193" s="8"/>
      <c r="E193" s="21"/>
      <c r="F193" s="64"/>
      <c r="G193" s="8"/>
      <c r="H193" s="8"/>
      <c r="I193" s="10"/>
      <c r="J193" s="10"/>
      <c r="K193" s="9"/>
      <c r="L193" s="9"/>
      <c r="M193" s="9"/>
      <c r="N193"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93" s="9"/>
      <c r="P193" s="9"/>
      <c r="Q193" s="8"/>
      <c r="R193" s="38"/>
      <c r="S193" s="38"/>
      <c r="T193" s="38"/>
      <c r="U193" s="38"/>
      <c r="V193" s="38"/>
      <c r="W193" s="38"/>
      <c r="X193" s="38"/>
      <c r="Y193"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93" s="38"/>
      <c r="AA193"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93" s="8"/>
      <c r="AC193" s="203"/>
      <c r="AD193"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93"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93" s="503"/>
      <c r="AG193" s="44"/>
      <c r="AH193" s="189" t="str">
        <f>IF(COUNTA(CCTSAS[[#This Row],[N°]:[heures annuelles
selon contrat(s)]])=0,"",REVEX!$E$9)</f>
        <v/>
      </c>
      <c r="AI193" s="73" t="str">
        <f>IF(CCTSAS[[#This Row],[Allocation fonctions]]="","",IF(ISNA(VLOOKUP(CCTSAS[[#This Row],[Allocation fonctions]],'Variable et Dropdowns'!H188:H204,1,FALSE))=TRUE,"Veuillez utiliser les allocations parmis la liste déroulante.",""))</f>
        <v/>
      </c>
    </row>
    <row r="194" spans="1:35" x14ac:dyDescent="0.25">
      <c r="A194" s="73" t="str">
        <f>IF(CCTSAS[[#This Row],[Carrière]]="","",IF(ISNA(VLOOKUP(CCTSAS[[#This Row],[Carrière]],DROPDOWN[Dropdown9],1,FALSE))=TRUE,"Carrière: Utiliser la liste déroulante",""))</f>
        <v/>
      </c>
      <c r="B194" s="8"/>
      <c r="C194" s="8"/>
      <c r="D194" s="8"/>
      <c r="E194" s="21"/>
      <c r="F194" s="64"/>
      <c r="G194" s="8"/>
      <c r="H194" s="8"/>
      <c r="I194" s="10"/>
      <c r="J194" s="10"/>
      <c r="K194" s="9"/>
      <c r="L194" s="9"/>
      <c r="M194" s="9"/>
      <c r="N194"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94" s="9"/>
      <c r="P194" s="9"/>
      <c r="Q194" s="8"/>
      <c r="R194" s="38"/>
      <c r="S194" s="38"/>
      <c r="T194" s="38"/>
      <c r="U194" s="38"/>
      <c r="V194" s="38"/>
      <c r="W194" s="38"/>
      <c r="X194" s="38"/>
      <c r="Y194"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94" s="38"/>
      <c r="AA194"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94" s="8"/>
      <c r="AC194" s="203"/>
      <c r="AD194"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94"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94" s="503"/>
      <c r="AG194" s="44"/>
      <c r="AH194" s="189" t="str">
        <f>IF(COUNTA(CCTSAS[[#This Row],[N°]:[heures annuelles
selon contrat(s)]])=0,"",REVEX!$E$9)</f>
        <v/>
      </c>
      <c r="AI194" s="73" t="str">
        <f>IF(CCTSAS[[#This Row],[Allocation fonctions]]="","",IF(ISNA(VLOOKUP(CCTSAS[[#This Row],[Allocation fonctions]],'Variable et Dropdowns'!H189:H205,1,FALSE))=TRUE,"Veuillez utiliser les allocations parmis la liste déroulante.",""))</f>
        <v/>
      </c>
    </row>
    <row r="195" spans="1:35" x14ac:dyDescent="0.25">
      <c r="A195" s="73" t="str">
        <f>IF(CCTSAS[[#This Row],[Carrière]]="","",IF(ISNA(VLOOKUP(CCTSAS[[#This Row],[Carrière]],DROPDOWN[Dropdown9],1,FALSE))=TRUE,"Carrière: Utiliser la liste déroulante",""))</f>
        <v/>
      </c>
      <c r="B195" s="8"/>
      <c r="C195" s="8"/>
      <c r="D195" s="8"/>
      <c r="E195" s="21"/>
      <c r="F195" s="64"/>
      <c r="G195" s="8"/>
      <c r="H195" s="8"/>
      <c r="I195" s="10"/>
      <c r="J195" s="10"/>
      <c r="K195" s="9"/>
      <c r="L195" s="9"/>
      <c r="M195" s="9"/>
      <c r="N195"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95" s="9"/>
      <c r="P195" s="9"/>
      <c r="Q195" s="8"/>
      <c r="R195" s="38"/>
      <c r="S195" s="38"/>
      <c r="T195" s="38"/>
      <c r="U195" s="38"/>
      <c r="V195" s="38"/>
      <c r="W195" s="38"/>
      <c r="X195" s="38"/>
      <c r="Y195"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95" s="38"/>
      <c r="AA195"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95" s="8"/>
      <c r="AC195" s="203"/>
      <c r="AD195"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95"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95" s="503"/>
      <c r="AG195" s="44"/>
      <c r="AH195" s="189" t="str">
        <f>IF(COUNTA(CCTSAS[[#This Row],[N°]:[heures annuelles
selon contrat(s)]])=0,"",REVEX!$E$9)</f>
        <v/>
      </c>
      <c r="AI195" s="73" t="str">
        <f>IF(CCTSAS[[#This Row],[Allocation fonctions]]="","",IF(ISNA(VLOOKUP(CCTSAS[[#This Row],[Allocation fonctions]],'Variable et Dropdowns'!H190:H206,1,FALSE))=TRUE,"Veuillez utiliser les allocations parmis la liste déroulante.",""))</f>
        <v/>
      </c>
    </row>
    <row r="196" spans="1:35" x14ac:dyDescent="0.25">
      <c r="A196" s="73" t="str">
        <f>IF(CCTSAS[[#This Row],[Carrière]]="","",IF(ISNA(VLOOKUP(CCTSAS[[#This Row],[Carrière]],DROPDOWN[Dropdown9],1,FALSE))=TRUE,"Carrière: Utiliser la liste déroulante",""))</f>
        <v/>
      </c>
      <c r="B196" s="8"/>
      <c r="C196" s="8"/>
      <c r="D196" s="8"/>
      <c r="E196" s="21"/>
      <c r="F196" s="64"/>
      <c r="G196" s="8"/>
      <c r="H196" s="8"/>
      <c r="I196" s="10"/>
      <c r="J196" s="10"/>
      <c r="K196" s="9"/>
      <c r="L196" s="9"/>
      <c r="M196" s="9"/>
      <c r="N196"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96" s="9"/>
      <c r="P196" s="9"/>
      <c r="Q196" s="8"/>
      <c r="R196" s="38"/>
      <c r="S196" s="38"/>
      <c r="T196" s="38"/>
      <c r="U196" s="38"/>
      <c r="V196" s="38"/>
      <c r="W196" s="38"/>
      <c r="X196" s="38"/>
      <c r="Y196"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96" s="38"/>
      <c r="AA196"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96" s="8"/>
      <c r="AC196" s="203"/>
      <c r="AD196"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96"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96" s="503"/>
      <c r="AG196" s="44"/>
      <c r="AH196" s="189" t="str">
        <f>IF(COUNTA(CCTSAS[[#This Row],[N°]:[heures annuelles
selon contrat(s)]])=0,"",REVEX!$E$9)</f>
        <v/>
      </c>
      <c r="AI196" s="73" t="str">
        <f>IF(CCTSAS[[#This Row],[Allocation fonctions]]="","",IF(ISNA(VLOOKUP(CCTSAS[[#This Row],[Allocation fonctions]],'Variable et Dropdowns'!H191:H207,1,FALSE))=TRUE,"Veuillez utiliser les allocations parmis la liste déroulante.",""))</f>
        <v/>
      </c>
    </row>
    <row r="197" spans="1:35" x14ac:dyDescent="0.25">
      <c r="A197" s="73" t="str">
        <f>IF(CCTSAS[[#This Row],[Carrière]]="","",IF(ISNA(VLOOKUP(CCTSAS[[#This Row],[Carrière]],DROPDOWN[Dropdown9],1,FALSE))=TRUE,"Carrière: Utiliser la liste déroulante",""))</f>
        <v/>
      </c>
      <c r="B197" s="8"/>
      <c r="C197" s="8"/>
      <c r="D197" s="8"/>
      <c r="E197" s="21"/>
      <c r="F197" s="64"/>
      <c r="G197" s="8"/>
      <c r="H197" s="8"/>
      <c r="I197" s="10"/>
      <c r="J197" s="10"/>
      <c r="K197" s="9"/>
      <c r="L197" s="9"/>
      <c r="M197" s="9"/>
      <c r="N197"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97" s="9"/>
      <c r="P197" s="9"/>
      <c r="Q197" s="8"/>
      <c r="R197" s="38"/>
      <c r="S197" s="38"/>
      <c r="T197" s="38"/>
      <c r="U197" s="38"/>
      <c r="V197" s="38"/>
      <c r="W197" s="38"/>
      <c r="X197" s="38"/>
      <c r="Y197"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97" s="38"/>
      <c r="AA197"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97" s="8"/>
      <c r="AC197" s="203"/>
      <c r="AD197"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97"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97" s="503"/>
      <c r="AG197" s="44"/>
      <c r="AH197" s="189" t="str">
        <f>IF(COUNTA(CCTSAS[[#This Row],[N°]:[heures annuelles
selon contrat(s)]])=0,"",REVEX!$E$9)</f>
        <v/>
      </c>
      <c r="AI197" s="73" t="str">
        <f>IF(CCTSAS[[#This Row],[Allocation fonctions]]="","",IF(ISNA(VLOOKUP(CCTSAS[[#This Row],[Allocation fonctions]],'Variable et Dropdowns'!H192:H208,1,FALSE))=TRUE,"Veuillez utiliser les allocations parmis la liste déroulante.",""))</f>
        <v/>
      </c>
    </row>
    <row r="198" spans="1:35" x14ac:dyDescent="0.25">
      <c r="A198" s="73" t="str">
        <f>IF(CCTSAS[[#This Row],[Carrière]]="","",IF(ISNA(VLOOKUP(CCTSAS[[#This Row],[Carrière]],DROPDOWN[Dropdown9],1,FALSE))=TRUE,"Carrière: Utiliser la liste déroulante",""))</f>
        <v/>
      </c>
      <c r="B198" s="8"/>
      <c r="C198" s="8"/>
      <c r="D198" s="8"/>
      <c r="E198" s="21"/>
      <c r="F198" s="64"/>
      <c r="G198" s="8"/>
      <c r="H198" s="8"/>
      <c r="I198" s="10"/>
      <c r="J198" s="10"/>
      <c r="K198" s="9"/>
      <c r="L198" s="9"/>
      <c r="M198" s="9"/>
      <c r="N198"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98" s="9"/>
      <c r="P198" s="9"/>
      <c r="Q198" s="8"/>
      <c r="R198" s="38"/>
      <c r="S198" s="38"/>
      <c r="T198" s="38"/>
      <c r="U198" s="38"/>
      <c r="V198" s="38"/>
      <c r="W198" s="38"/>
      <c r="X198" s="38"/>
      <c r="Y198"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98" s="38"/>
      <c r="AA198"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98" s="8"/>
      <c r="AC198" s="203"/>
      <c r="AD198"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98"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98" s="503"/>
      <c r="AG198" s="44"/>
      <c r="AH198" s="189" t="str">
        <f>IF(COUNTA(CCTSAS[[#This Row],[N°]:[heures annuelles
selon contrat(s)]])=0,"",REVEX!$E$9)</f>
        <v/>
      </c>
      <c r="AI198" s="73" t="str">
        <f>IF(CCTSAS[[#This Row],[Allocation fonctions]]="","",IF(ISNA(VLOOKUP(CCTSAS[[#This Row],[Allocation fonctions]],'Variable et Dropdowns'!H193:H209,1,FALSE))=TRUE,"Veuillez utiliser les allocations parmis la liste déroulante.",""))</f>
        <v/>
      </c>
    </row>
    <row r="199" spans="1:35" x14ac:dyDescent="0.25">
      <c r="A199" s="73" t="str">
        <f>IF(CCTSAS[[#This Row],[Carrière]]="","",IF(ISNA(VLOOKUP(CCTSAS[[#This Row],[Carrière]],DROPDOWN[Dropdown9],1,FALSE))=TRUE,"Carrière: Utiliser la liste déroulante",""))</f>
        <v/>
      </c>
      <c r="B199" s="8"/>
      <c r="C199" s="8"/>
      <c r="D199" s="8"/>
      <c r="E199" s="21"/>
      <c r="F199" s="64"/>
      <c r="G199" s="8"/>
      <c r="H199" s="8"/>
      <c r="I199" s="10"/>
      <c r="J199" s="10"/>
      <c r="K199" s="9"/>
      <c r="L199" s="9"/>
      <c r="M199" s="9"/>
      <c r="N199"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199" s="9"/>
      <c r="P199" s="9"/>
      <c r="Q199" s="8"/>
      <c r="R199" s="38"/>
      <c r="S199" s="38"/>
      <c r="T199" s="38"/>
      <c r="U199" s="38"/>
      <c r="V199" s="38"/>
      <c r="W199" s="38"/>
      <c r="X199" s="38"/>
      <c r="Y199"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199" s="38"/>
      <c r="AA199"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199" s="8"/>
      <c r="AC199" s="203"/>
      <c r="AD199"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199"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199" s="503"/>
      <c r="AG199" s="44"/>
      <c r="AH199" s="189" t="str">
        <f>IF(COUNTA(CCTSAS[[#This Row],[N°]:[heures annuelles
selon contrat(s)]])=0,"",REVEX!$E$9)</f>
        <v/>
      </c>
      <c r="AI199" s="73" t="str">
        <f>IF(CCTSAS[[#This Row],[Allocation fonctions]]="","",IF(ISNA(VLOOKUP(CCTSAS[[#This Row],[Allocation fonctions]],'Variable et Dropdowns'!H194:H210,1,FALSE))=TRUE,"Veuillez utiliser les allocations parmis la liste déroulante.",""))</f>
        <v/>
      </c>
    </row>
    <row r="200" spans="1:35" x14ac:dyDescent="0.25">
      <c r="A200" s="73" t="str">
        <f>IF(CCTSAS[[#This Row],[Carrière]]="","",IF(ISNA(VLOOKUP(CCTSAS[[#This Row],[Carrière]],DROPDOWN[Dropdown9],1,FALSE))=TRUE,"Carrière: Utiliser la liste déroulante",""))</f>
        <v/>
      </c>
      <c r="B200" s="8"/>
      <c r="C200" s="8"/>
      <c r="D200" s="8"/>
      <c r="E200" s="21"/>
      <c r="F200" s="64"/>
      <c r="G200" s="8"/>
      <c r="H200" s="8"/>
      <c r="I200" s="10"/>
      <c r="J200" s="10"/>
      <c r="K200" s="9"/>
      <c r="L200" s="9"/>
      <c r="M200" s="9"/>
      <c r="N200"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00" s="9"/>
      <c r="P200" s="9"/>
      <c r="Q200" s="8"/>
      <c r="R200" s="38"/>
      <c r="S200" s="38"/>
      <c r="T200" s="38"/>
      <c r="U200" s="38"/>
      <c r="V200" s="38"/>
      <c r="W200" s="38"/>
      <c r="X200" s="38"/>
      <c r="Y200"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00" s="38"/>
      <c r="AA200"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00" s="8"/>
      <c r="AC200" s="203"/>
      <c r="AD200"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00"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00" s="503"/>
      <c r="AG200" s="44"/>
      <c r="AH200" s="189" t="str">
        <f>IF(COUNTA(CCTSAS[[#This Row],[N°]:[heures annuelles
selon contrat(s)]])=0,"",REVEX!$E$9)</f>
        <v/>
      </c>
      <c r="AI200" s="73" t="str">
        <f>IF(CCTSAS[[#This Row],[Allocation fonctions]]="","",IF(ISNA(VLOOKUP(CCTSAS[[#This Row],[Allocation fonctions]],'Variable et Dropdowns'!H195:H211,1,FALSE))=TRUE,"Veuillez utiliser les allocations parmis la liste déroulante.",""))</f>
        <v/>
      </c>
    </row>
    <row r="201" spans="1:35" x14ac:dyDescent="0.25">
      <c r="A201" s="73" t="str">
        <f>IF(CCTSAS[[#This Row],[Carrière]]="","",IF(ISNA(VLOOKUP(CCTSAS[[#This Row],[Carrière]],DROPDOWN[Dropdown9],1,FALSE))=TRUE,"Carrière: Utiliser la liste déroulante",""))</f>
        <v/>
      </c>
      <c r="B201" s="8"/>
      <c r="C201" s="8"/>
      <c r="D201" s="8"/>
      <c r="E201" s="21"/>
      <c r="F201" s="64"/>
      <c r="G201" s="8"/>
      <c r="H201" s="8"/>
      <c r="I201" s="10"/>
      <c r="J201" s="10"/>
      <c r="K201" s="9"/>
      <c r="L201" s="9"/>
      <c r="M201" s="9"/>
      <c r="N201"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01" s="9"/>
      <c r="P201" s="9"/>
      <c r="Q201" s="8"/>
      <c r="R201" s="38"/>
      <c r="S201" s="38"/>
      <c r="T201" s="38"/>
      <c r="U201" s="38"/>
      <c r="V201" s="38"/>
      <c r="W201" s="38"/>
      <c r="X201" s="38"/>
      <c r="Y201"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01" s="38"/>
      <c r="AA201"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01" s="8"/>
      <c r="AC201" s="203"/>
      <c r="AD201"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01"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01" s="503"/>
      <c r="AG201" s="44"/>
      <c r="AH201" s="189" t="str">
        <f>IF(COUNTA(CCTSAS[[#This Row],[N°]:[heures annuelles
selon contrat(s)]])=0,"",REVEX!$E$9)</f>
        <v/>
      </c>
      <c r="AI201" s="73" t="str">
        <f>IF(CCTSAS[[#This Row],[Allocation fonctions]]="","",IF(ISNA(VLOOKUP(CCTSAS[[#This Row],[Allocation fonctions]],'Variable et Dropdowns'!H196:H212,1,FALSE))=TRUE,"Veuillez utiliser les allocations parmis la liste déroulante.",""))</f>
        <v/>
      </c>
    </row>
    <row r="202" spans="1:35" x14ac:dyDescent="0.25">
      <c r="A202" s="73" t="str">
        <f>IF(CCTSAS[[#This Row],[Carrière]]="","",IF(ISNA(VLOOKUP(CCTSAS[[#This Row],[Carrière]],DROPDOWN[Dropdown9],1,FALSE))=TRUE,"Carrière: Utiliser la liste déroulante",""))</f>
        <v/>
      </c>
      <c r="B202" s="8"/>
      <c r="C202" s="8"/>
      <c r="D202" s="8"/>
      <c r="E202" s="21"/>
      <c r="F202" s="64"/>
      <c r="G202" s="8"/>
      <c r="H202" s="8"/>
      <c r="I202" s="10"/>
      <c r="J202" s="10"/>
      <c r="K202" s="9"/>
      <c r="L202" s="9"/>
      <c r="M202" s="9"/>
      <c r="N202"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02" s="9"/>
      <c r="P202" s="9"/>
      <c r="Q202" s="8"/>
      <c r="R202" s="38"/>
      <c r="S202" s="38"/>
      <c r="T202" s="38"/>
      <c r="U202" s="38"/>
      <c r="V202" s="38"/>
      <c r="W202" s="38"/>
      <c r="X202" s="38"/>
      <c r="Y202"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02" s="38"/>
      <c r="AA202"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02" s="8"/>
      <c r="AC202" s="203"/>
      <c r="AD202"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02"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02" s="503"/>
      <c r="AG202" s="44"/>
      <c r="AH202" s="189" t="str">
        <f>IF(COUNTA(CCTSAS[[#This Row],[N°]:[heures annuelles
selon contrat(s)]])=0,"",REVEX!$E$9)</f>
        <v/>
      </c>
      <c r="AI202" s="73" t="str">
        <f>IF(CCTSAS[[#This Row],[Allocation fonctions]]="","",IF(ISNA(VLOOKUP(CCTSAS[[#This Row],[Allocation fonctions]],'Variable et Dropdowns'!H197:H213,1,FALSE))=TRUE,"Veuillez utiliser les allocations parmis la liste déroulante.",""))</f>
        <v/>
      </c>
    </row>
    <row r="203" spans="1:35" x14ac:dyDescent="0.25">
      <c r="A203" s="73" t="str">
        <f>IF(CCTSAS[[#This Row],[Carrière]]="","",IF(ISNA(VLOOKUP(CCTSAS[[#This Row],[Carrière]],DROPDOWN[Dropdown9],1,FALSE))=TRUE,"Carrière: Utiliser la liste déroulante",""))</f>
        <v/>
      </c>
      <c r="B203" s="8"/>
      <c r="C203" s="8"/>
      <c r="D203" s="8"/>
      <c r="E203" s="21"/>
      <c r="F203" s="64"/>
      <c r="G203" s="8"/>
      <c r="H203" s="8"/>
      <c r="I203" s="10"/>
      <c r="J203" s="10"/>
      <c r="K203" s="9"/>
      <c r="L203" s="9"/>
      <c r="M203" s="9"/>
      <c r="N203"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03" s="9"/>
      <c r="P203" s="9"/>
      <c r="Q203" s="8"/>
      <c r="R203" s="38"/>
      <c r="S203" s="38"/>
      <c r="T203" s="38"/>
      <c r="U203" s="38"/>
      <c r="V203" s="38"/>
      <c r="W203" s="38"/>
      <c r="X203" s="38"/>
      <c r="Y203"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03" s="38"/>
      <c r="AA203"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03" s="8"/>
      <c r="AC203" s="203"/>
      <c r="AD203"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03"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03" s="503"/>
      <c r="AG203" s="44"/>
      <c r="AH203" s="189" t="str">
        <f>IF(COUNTA(CCTSAS[[#This Row],[N°]:[heures annuelles
selon contrat(s)]])=0,"",REVEX!$E$9)</f>
        <v/>
      </c>
      <c r="AI203" s="73" t="str">
        <f>IF(CCTSAS[[#This Row],[Allocation fonctions]]="","",IF(ISNA(VLOOKUP(CCTSAS[[#This Row],[Allocation fonctions]],'Variable et Dropdowns'!H198:H214,1,FALSE))=TRUE,"Veuillez utiliser les allocations parmis la liste déroulante.",""))</f>
        <v/>
      </c>
    </row>
    <row r="204" spans="1:35" x14ac:dyDescent="0.25">
      <c r="A204" s="73" t="str">
        <f>IF(CCTSAS[[#This Row],[Carrière]]="","",IF(ISNA(VLOOKUP(CCTSAS[[#This Row],[Carrière]],DROPDOWN[Dropdown9],1,FALSE))=TRUE,"Carrière: Utiliser la liste déroulante",""))</f>
        <v/>
      </c>
      <c r="B204" s="8"/>
      <c r="C204" s="8"/>
      <c r="D204" s="8"/>
      <c r="E204" s="21"/>
      <c r="F204" s="64"/>
      <c r="G204" s="8"/>
      <c r="H204" s="8"/>
      <c r="I204" s="10"/>
      <c r="J204" s="10"/>
      <c r="K204" s="9"/>
      <c r="L204" s="9"/>
      <c r="M204" s="9"/>
      <c r="N204"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04" s="9"/>
      <c r="P204" s="9"/>
      <c r="Q204" s="8"/>
      <c r="R204" s="38"/>
      <c r="S204" s="38"/>
      <c r="T204" s="38"/>
      <c r="U204" s="38"/>
      <c r="V204" s="38"/>
      <c r="W204" s="38"/>
      <c r="X204" s="38"/>
      <c r="Y204"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04" s="38"/>
      <c r="AA204"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04" s="8"/>
      <c r="AC204" s="203"/>
      <c r="AD204"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04"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04" s="503"/>
      <c r="AG204" s="44"/>
      <c r="AH204" s="189" t="str">
        <f>IF(COUNTA(CCTSAS[[#This Row],[N°]:[heures annuelles
selon contrat(s)]])=0,"",REVEX!$E$9)</f>
        <v/>
      </c>
      <c r="AI204" s="73" t="str">
        <f>IF(CCTSAS[[#This Row],[Allocation fonctions]]="","",IF(ISNA(VLOOKUP(CCTSAS[[#This Row],[Allocation fonctions]],'Variable et Dropdowns'!H199:H215,1,FALSE))=TRUE,"Veuillez utiliser les allocations parmis la liste déroulante.",""))</f>
        <v/>
      </c>
    </row>
    <row r="205" spans="1:35" x14ac:dyDescent="0.25">
      <c r="A205" s="73" t="str">
        <f>IF(CCTSAS[[#This Row],[Carrière]]="","",IF(ISNA(VLOOKUP(CCTSAS[[#This Row],[Carrière]],DROPDOWN[Dropdown9],1,FALSE))=TRUE,"Carrière: Utiliser la liste déroulante",""))</f>
        <v/>
      </c>
      <c r="B205" s="8"/>
      <c r="C205" s="8"/>
      <c r="D205" s="8"/>
      <c r="E205" s="21"/>
      <c r="F205" s="64"/>
      <c r="G205" s="8"/>
      <c r="H205" s="8"/>
      <c r="I205" s="10"/>
      <c r="J205" s="10"/>
      <c r="K205" s="9"/>
      <c r="L205" s="9"/>
      <c r="M205" s="9"/>
      <c r="N205"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05" s="9"/>
      <c r="P205" s="9"/>
      <c r="Q205" s="8"/>
      <c r="R205" s="38"/>
      <c r="S205" s="38"/>
      <c r="T205" s="38"/>
      <c r="U205" s="38"/>
      <c r="V205" s="38"/>
      <c r="W205" s="38"/>
      <c r="X205" s="38"/>
      <c r="Y205"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05" s="38"/>
      <c r="AA205"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05" s="8"/>
      <c r="AC205" s="203"/>
      <c r="AD205"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05"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05" s="503"/>
      <c r="AG205" s="44"/>
      <c r="AH205" s="189" t="str">
        <f>IF(COUNTA(CCTSAS[[#This Row],[N°]:[heures annuelles
selon contrat(s)]])=0,"",REVEX!$E$9)</f>
        <v/>
      </c>
      <c r="AI205" s="73" t="str">
        <f>IF(CCTSAS[[#This Row],[Allocation fonctions]]="","",IF(ISNA(VLOOKUP(CCTSAS[[#This Row],[Allocation fonctions]],'Variable et Dropdowns'!H200:H216,1,FALSE))=TRUE,"Veuillez utiliser les allocations parmis la liste déroulante.",""))</f>
        <v/>
      </c>
    </row>
    <row r="206" spans="1:35" x14ac:dyDescent="0.25">
      <c r="A206" s="73" t="str">
        <f>IF(CCTSAS[[#This Row],[Carrière]]="","",IF(ISNA(VLOOKUP(CCTSAS[[#This Row],[Carrière]],DROPDOWN[Dropdown9],1,FALSE))=TRUE,"Carrière: Utiliser la liste déroulante",""))</f>
        <v/>
      </c>
      <c r="B206" s="8"/>
      <c r="C206" s="8"/>
      <c r="D206" s="8"/>
      <c r="E206" s="21"/>
      <c r="F206" s="64"/>
      <c r="G206" s="8"/>
      <c r="H206" s="8"/>
      <c r="I206" s="10"/>
      <c r="J206" s="10"/>
      <c r="K206" s="9"/>
      <c r="L206" s="9"/>
      <c r="M206" s="9"/>
      <c r="N206"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06" s="9"/>
      <c r="P206" s="9"/>
      <c r="Q206" s="8"/>
      <c r="R206" s="38"/>
      <c r="S206" s="38"/>
      <c r="T206" s="38"/>
      <c r="U206" s="38"/>
      <c r="V206" s="38"/>
      <c r="W206" s="38"/>
      <c r="X206" s="38"/>
      <c r="Y206"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06" s="38"/>
      <c r="AA206"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06" s="8"/>
      <c r="AC206" s="203"/>
      <c r="AD206"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06"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06" s="503"/>
      <c r="AG206" s="44"/>
      <c r="AH206" s="189" t="str">
        <f>IF(COUNTA(CCTSAS[[#This Row],[N°]:[heures annuelles
selon contrat(s)]])=0,"",REVEX!$E$9)</f>
        <v/>
      </c>
      <c r="AI206" s="73" t="str">
        <f>IF(CCTSAS[[#This Row],[Allocation fonctions]]="","",IF(ISNA(VLOOKUP(CCTSAS[[#This Row],[Allocation fonctions]],'Variable et Dropdowns'!H201:H217,1,FALSE))=TRUE,"Veuillez utiliser les allocations parmis la liste déroulante.",""))</f>
        <v/>
      </c>
    </row>
    <row r="207" spans="1:35" x14ac:dyDescent="0.25">
      <c r="A207" s="73" t="str">
        <f>IF(CCTSAS[[#This Row],[Carrière]]="","",IF(ISNA(VLOOKUP(CCTSAS[[#This Row],[Carrière]],DROPDOWN[Dropdown9],1,FALSE))=TRUE,"Carrière: Utiliser la liste déroulante",""))</f>
        <v/>
      </c>
      <c r="B207" s="8"/>
      <c r="C207" s="8"/>
      <c r="D207" s="8"/>
      <c r="E207" s="21"/>
      <c r="F207" s="64"/>
      <c r="G207" s="8"/>
      <c r="H207" s="8"/>
      <c r="I207" s="10"/>
      <c r="J207" s="10"/>
      <c r="K207" s="9"/>
      <c r="L207" s="9"/>
      <c r="M207" s="9"/>
      <c r="N207"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07" s="9"/>
      <c r="P207" s="9"/>
      <c r="Q207" s="8"/>
      <c r="R207" s="38"/>
      <c r="S207" s="38"/>
      <c r="T207" s="38"/>
      <c r="U207" s="38"/>
      <c r="V207" s="38"/>
      <c r="W207" s="38"/>
      <c r="X207" s="38"/>
      <c r="Y207"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07" s="38"/>
      <c r="AA207"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07" s="8"/>
      <c r="AC207" s="203"/>
      <c r="AD207"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07"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07" s="503"/>
      <c r="AG207" s="44"/>
      <c r="AH207" s="189" t="str">
        <f>IF(COUNTA(CCTSAS[[#This Row],[N°]:[heures annuelles
selon contrat(s)]])=0,"",REVEX!$E$9)</f>
        <v/>
      </c>
      <c r="AI207" s="73" t="str">
        <f>IF(CCTSAS[[#This Row],[Allocation fonctions]]="","",IF(ISNA(VLOOKUP(CCTSAS[[#This Row],[Allocation fonctions]],'Variable et Dropdowns'!H202:H218,1,FALSE))=TRUE,"Veuillez utiliser les allocations parmis la liste déroulante.",""))</f>
        <v/>
      </c>
    </row>
    <row r="208" spans="1:35" x14ac:dyDescent="0.25">
      <c r="A208" s="73" t="str">
        <f>IF(CCTSAS[[#This Row],[Carrière]]="","",IF(ISNA(VLOOKUP(CCTSAS[[#This Row],[Carrière]],DROPDOWN[Dropdown9],1,FALSE))=TRUE,"Carrière: Utiliser la liste déroulante",""))</f>
        <v/>
      </c>
      <c r="B208" s="8"/>
      <c r="C208" s="8"/>
      <c r="D208" s="8"/>
      <c r="E208" s="21"/>
      <c r="F208" s="64"/>
      <c r="G208" s="8"/>
      <c r="H208" s="8"/>
      <c r="I208" s="10"/>
      <c r="J208" s="10"/>
      <c r="K208" s="9"/>
      <c r="L208" s="9"/>
      <c r="M208" s="9"/>
      <c r="N208"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08" s="9"/>
      <c r="P208" s="9"/>
      <c r="Q208" s="8"/>
      <c r="R208" s="38"/>
      <c r="S208" s="38"/>
      <c r="T208" s="38"/>
      <c r="U208" s="38"/>
      <c r="V208" s="38"/>
      <c r="W208" s="38"/>
      <c r="X208" s="38"/>
      <c r="Y208"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08" s="38"/>
      <c r="AA208"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08" s="8"/>
      <c r="AC208" s="203"/>
      <c r="AD208"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08"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08" s="503"/>
      <c r="AG208" s="44"/>
      <c r="AH208" s="189" t="str">
        <f>IF(COUNTA(CCTSAS[[#This Row],[N°]:[heures annuelles
selon contrat(s)]])=0,"",REVEX!$E$9)</f>
        <v/>
      </c>
      <c r="AI208" s="73" t="str">
        <f>IF(CCTSAS[[#This Row],[Allocation fonctions]]="","",IF(ISNA(VLOOKUP(CCTSAS[[#This Row],[Allocation fonctions]],'Variable et Dropdowns'!H203:H219,1,FALSE))=TRUE,"Veuillez utiliser les allocations parmis la liste déroulante.",""))</f>
        <v/>
      </c>
    </row>
    <row r="209" spans="1:35" x14ac:dyDescent="0.25">
      <c r="A209" s="73" t="str">
        <f>IF(CCTSAS[[#This Row],[Carrière]]="","",IF(ISNA(VLOOKUP(CCTSAS[[#This Row],[Carrière]],DROPDOWN[Dropdown9],1,FALSE))=TRUE,"Carrière: Utiliser la liste déroulante",""))</f>
        <v/>
      </c>
      <c r="B209" s="8"/>
      <c r="C209" s="8"/>
      <c r="D209" s="8"/>
      <c r="E209" s="21"/>
      <c r="F209" s="64"/>
      <c r="G209" s="8"/>
      <c r="H209" s="8"/>
      <c r="I209" s="10"/>
      <c r="J209" s="10"/>
      <c r="K209" s="9"/>
      <c r="L209" s="9"/>
      <c r="M209" s="9"/>
      <c r="N209"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09" s="9"/>
      <c r="P209" s="9"/>
      <c r="Q209" s="8"/>
      <c r="R209" s="38"/>
      <c r="S209" s="38"/>
      <c r="T209" s="38"/>
      <c r="U209" s="38"/>
      <c r="V209" s="38"/>
      <c r="W209" s="38"/>
      <c r="X209" s="38"/>
      <c r="Y209"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09" s="38"/>
      <c r="AA209"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09" s="8"/>
      <c r="AC209" s="203"/>
      <c r="AD209"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09"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09" s="503"/>
      <c r="AG209" s="44"/>
      <c r="AH209" s="189" t="str">
        <f>IF(COUNTA(CCTSAS[[#This Row],[N°]:[heures annuelles
selon contrat(s)]])=0,"",REVEX!$E$9)</f>
        <v/>
      </c>
      <c r="AI209" s="73" t="str">
        <f>IF(CCTSAS[[#This Row],[Allocation fonctions]]="","",IF(ISNA(VLOOKUP(CCTSAS[[#This Row],[Allocation fonctions]],'Variable et Dropdowns'!H204:H220,1,FALSE))=TRUE,"Veuillez utiliser les allocations parmis la liste déroulante.",""))</f>
        <v/>
      </c>
    </row>
    <row r="210" spans="1:35" x14ac:dyDescent="0.25">
      <c r="A210" s="73" t="str">
        <f>IF(CCTSAS[[#This Row],[Carrière]]="","",IF(ISNA(VLOOKUP(CCTSAS[[#This Row],[Carrière]],DROPDOWN[Dropdown9],1,FALSE))=TRUE,"Carrière: Utiliser la liste déroulante",""))</f>
        <v/>
      </c>
      <c r="B210" s="8"/>
      <c r="C210" s="8"/>
      <c r="D210" s="8"/>
      <c r="E210" s="21"/>
      <c r="F210" s="64"/>
      <c r="G210" s="8"/>
      <c r="H210" s="8"/>
      <c r="I210" s="10"/>
      <c r="J210" s="10"/>
      <c r="K210" s="9"/>
      <c r="L210" s="9"/>
      <c r="M210" s="9"/>
      <c r="N210"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10" s="9"/>
      <c r="P210" s="9"/>
      <c r="Q210" s="8"/>
      <c r="R210" s="38"/>
      <c r="S210" s="38"/>
      <c r="T210" s="38"/>
      <c r="U210" s="38"/>
      <c r="V210" s="38"/>
      <c r="W210" s="38"/>
      <c r="X210" s="38"/>
      <c r="Y210"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10" s="38"/>
      <c r="AA210"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10" s="8"/>
      <c r="AC210" s="203"/>
      <c r="AD210"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10"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10" s="503"/>
      <c r="AG210" s="44"/>
      <c r="AH210" s="189" t="str">
        <f>IF(COUNTA(CCTSAS[[#This Row],[N°]:[heures annuelles
selon contrat(s)]])=0,"",REVEX!$E$9)</f>
        <v/>
      </c>
      <c r="AI210" s="73" t="str">
        <f>IF(CCTSAS[[#This Row],[Allocation fonctions]]="","",IF(ISNA(VLOOKUP(CCTSAS[[#This Row],[Allocation fonctions]],'Variable et Dropdowns'!H205:H221,1,FALSE))=TRUE,"Veuillez utiliser les allocations parmis la liste déroulante.",""))</f>
        <v/>
      </c>
    </row>
    <row r="211" spans="1:35" x14ac:dyDescent="0.25">
      <c r="A211" s="73" t="str">
        <f>IF(CCTSAS[[#This Row],[Carrière]]="","",IF(ISNA(VLOOKUP(CCTSAS[[#This Row],[Carrière]],DROPDOWN[Dropdown9],1,FALSE))=TRUE,"Carrière: Utiliser la liste déroulante",""))</f>
        <v/>
      </c>
      <c r="B211" s="8"/>
      <c r="C211" s="8"/>
      <c r="D211" s="8"/>
      <c r="E211" s="21"/>
      <c r="F211" s="64"/>
      <c r="G211" s="8"/>
      <c r="H211" s="8"/>
      <c r="I211" s="10"/>
      <c r="J211" s="10"/>
      <c r="K211" s="9"/>
      <c r="L211" s="9"/>
      <c r="M211" s="9"/>
      <c r="N211"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11" s="9"/>
      <c r="P211" s="9"/>
      <c r="Q211" s="8"/>
      <c r="R211" s="38"/>
      <c r="S211" s="38"/>
      <c r="T211" s="38"/>
      <c r="U211" s="38"/>
      <c r="V211" s="38"/>
      <c r="W211" s="38"/>
      <c r="X211" s="38"/>
      <c r="Y211"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11" s="38"/>
      <c r="AA211"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11" s="8"/>
      <c r="AC211" s="203"/>
      <c r="AD211"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11"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11" s="503"/>
      <c r="AG211" s="44"/>
      <c r="AH211" s="189" t="str">
        <f>IF(COUNTA(CCTSAS[[#This Row],[N°]:[heures annuelles
selon contrat(s)]])=0,"",REVEX!$E$9)</f>
        <v/>
      </c>
      <c r="AI211" s="73" t="str">
        <f>IF(CCTSAS[[#This Row],[Allocation fonctions]]="","",IF(ISNA(VLOOKUP(CCTSAS[[#This Row],[Allocation fonctions]],'Variable et Dropdowns'!H206:H222,1,FALSE))=TRUE,"Veuillez utiliser les allocations parmis la liste déroulante.",""))</f>
        <v/>
      </c>
    </row>
    <row r="212" spans="1:35" x14ac:dyDescent="0.25">
      <c r="A212" s="73" t="str">
        <f>IF(CCTSAS[[#This Row],[Carrière]]="","",IF(ISNA(VLOOKUP(CCTSAS[[#This Row],[Carrière]],DROPDOWN[Dropdown9],1,FALSE))=TRUE,"Carrière: Utiliser la liste déroulante",""))</f>
        <v/>
      </c>
      <c r="B212" s="8"/>
      <c r="C212" s="8"/>
      <c r="D212" s="8"/>
      <c r="E212" s="21"/>
      <c r="F212" s="64"/>
      <c r="G212" s="8"/>
      <c r="H212" s="8"/>
      <c r="I212" s="10"/>
      <c r="J212" s="10"/>
      <c r="K212" s="9"/>
      <c r="L212" s="9"/>
      <c r="M212" s="9"/>
      <c r="N212"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12" s="9"/>
      <c r="P212" s="9"/>
      <c r="Q212" s="8"/>
      <c r="R212" s="38"/>
      <c r="S212" s="38"/>
      <c r="T212" s="38"/>
      <c r="U212" s="38"/>
      <c r="V212" s="38"/>
      <c r="W212" s="38"/>
      <c r="X212" s="38"/>
      <c r="Y212"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12" s="38"/>
      <c r="AA212"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12" s="8"/>
      <c r="AC212" s="203"/>
      <c r="AD212"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12"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12" s="503"/>
      <c r="AG212" s="44"/>
      <c r="AH212" s="189" t="str">
        <f>IF(COUNTA(CCTSAS[[#This Row],[N°]:[heures annuelles
selon contrat(s)]])=0,"",REVEX!$E$9)</f>
        <v/>
      </c>
      <c r="AI212" s="73" t="str">
        <f>IF(CCTSAS[[#This Row],[Allocation fonctions]]="","",IF(ISNA(VLOOKUP(CCTSAS[[#This Row],[Allocation fonctions]],'Variable et Dropdowns'!H207:H223,1,FALSE))=TRUE,"Veuillez utiliser les allocations parmis la liste déroulante.",""))</f>
        <v/>
      </c>
    </row>
    <row r="213" spans="1:35" x14ac:dyDescent="0.25">
      <c r="A213" s="73" t="str">
        <f>IF(CCTSAS[[#This Row],[Carrière]]="","",IF(ISNA(VLOOKUP(CCTSAS[[#This Row],[Carrière]],DROPDOWN[Dropdown9],1,FALSE))=TRUE,"Carrière: Utiliser la liste déroulante",""))</f>
        <v/>
      </c>
      <c r="B213" s="8"/>
      <c r="C213" s="8"/>
      <c r="D213" s="8"/>
      <c r="E213" s="21"/>
      <c r="F213" s="64"/>
      <c r="G213" s="8"/>
      <c r="H213" s="8"/>
      <c r="I213" s="10"/>
      <c r="J213" s="10"/>
      <c r="K213" s="9"/>
      <c r="L213" s="9"/>
      <c r="M213" s="9"/>
      <c r="N213"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13" s="9"/>
      <c r="P213" s="9"/>
      <c r="Q213" s="8"/>
      <c r="R213" s="38"/>
      <c r="S213" s="38"/>
      <c r="T213" s="38"/>
      <c r="U213" s="38"/>
      <c r="V213" s="38"/>
      <c r="W213" s="38"/>
      <c r="X213" s="38"/>
      <c r="Y213"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13" s="38"/>
      <c r="AA213"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13" s="8"/>
      <c r="AC213" s="203"/>
      <c r="AD213"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13"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13" s="503"/>
      <c r="AG213" s="44"/>
      <c r="AH213" s="189" t="str">
        <f>IF(COUNTA(CCTSAS[[#This Row],[N°]:[heures annuelles
selon contrat(s)]])=0,"",REVEX!$E$9)</f>
        <v/>
      </c>
      <c r="AI213" s="73" t="str">
        <f>IF(CCTSAS[[#This Row],[Allocation fonctions]]="","",IF(ISNA(VLOOKUP(CCTSAS[[#This Row],[Allocation fonctions]],'Variable et Dropdowns'!H208:H224,1,FALSE))=TRUE,"Veuillez utiliser les allocations parmis la liste déroulante.",""))</f>
        <v/>
      </c>
    </row>
    <row r="214" spans="1:35" x14ac:dyDescent="0.25">
      <c r="A214" s="73" t="str">
        <f>IF(CCTSAS[[#This Row],[Carrière]]="","",IF(ISNA(VLOOKUP(CCTSAS[[#This Row],[Carrière]],DROPDOWN[Dropdown9],1,FALSE))=TRUE,"Carrière: Utiliser la liste déroulante",""))</f>
        <v/>
      </c>
      <c r="B214" s="8"/>
      <c r="C214" s="8"/>
      <c r="D214" s="8"/>
      <c r="E214" s="21"/>
      <c r="F214" s="64"/>
      <c r="G214" s="8"/>
      <c r="H214" s="8"/>
      <c r="I214" s="10"/>
      <c r="J214" s="10"/>
      <c r="K214" s="9"/>
      <c r="L214" s="9"/>
      <c r="M214" s="9"/>
      <c r="N214"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14" s="9"/>
      <c r="P214" s="9"/>
      <c r="Q214" s="8"/>
      <c r="R214" s="38"/>
      <c r="S214" s="38"/>
      <c r="T214" s="38"/>
      <c r="U214" s="38"/>
      <c r="V214" s="38"/>
      <c r="W214" s="38"/>
      <c r="X214" s="38"/>
      <c r="Y214"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14" s="38"/>
      <c r="AA214"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14" s="8"/>
      <c r="AC214" s="203"/>
      <c r="AD214"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14"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14" s="503"/>
      <c r="AG214" s="44"/>
      <c r="AH214" s="189" t="str">
        <f>IF(COUNTA(CCTSAS[[#This Row],[N°]:[heures annuelles
selon contrat(s)]])=0,"",REVEX!$E$9)</f>
        <v/>
      </c>
      <c r="AI214" s="73" t="str">
        <f>IF(CCTSAS[[#This Row],[Allocation fonctions]]="","",IF(ISNA(VLOOKUP(CCTSAS[[#This Row],[Allocation fonctions]],'Variable et Dropdowns'!H209:H225,1,FALSE))=TRUE,"Veuillez utiliser les allocations parmis la liste déroulante.",""))</f>
        <v/>
      </c>
    </row>
    <row r="215" spans="1:35" x14ac:dyDescent="0.25">
      <c r="A215" s="73" t="str">
        <f>IF(CCTSAS[[#This Row],[Carrière]]="","",IF(ISNA(VLOOKUP(CCTSAS[[#This Row],[Carrière]],DROPDOWN[Dropdown9],1,FALSE))=TRUE,"Carrière: Utiliser la liste déroulante",""))</f>
        <v/>
      </c>
      <c r="B215" s="8"/>
      <c r="C215" s="8"/>
      <c r="D215" s="8"/>
      <c r="E215" s="21"/>
      <c r="F215" s="64"/>
      <c r="G215" s="8"/>
      <c r="H215" s="8"/>
      <c r="I215" s="10"/>
      <c r="J215" s="10"/>
      <c r="K215" s="9"/>
      <c r="L215" s="9"/>
      <c r="M215" s="9"/>
      <c r="N215"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15" s="9"/>
      <c r="P215" s="9"/>
      <c r="Q215" s="8"/>
      <c r="R215" s="38"/>
      <c r="S215" s="38"/>
      <c r="T215" s="38"/>
      <c r="U215" s="38"/>
      <c r="V215" s="38"/>
      <c r="W215" s="38"/>
      <c r="X215" s="38"/>
      <c r="Y215"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15" s="38"/>
      <c r="AA215"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15" s="8"/>
      <c r="AC215" s="203"/>
      <c r="AD215"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15"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15" s="503"/>
      <c r="AG215" s="44"/>
      <c r="AH215" s="189" t="str">
        <f>IF(COUNTA(CCTSAS[[#This Row],[N°]:[heures annuelles
selon contrat(s)]])=0,"",REVEX!$E$9)</f>
        <v/>
      </c>
      <c r="AI215" s="73" t="str">
        <f>IF(CCTSAS[[#This Row],[Allocation fonctions]]="","",IF(ISNA(VLOOKUP(CCTSAS[[#This Row],[Allocation fonctions]],'Variable et Dropdowns'!H210:H226,1,FALSE))=TRUE,"Veuillez utiliser les allocations parmis la liste déroulante.",""))</f>
        <v/>
      </c>
    </row>
    <row r="216" spans="1:35" x14ac:dyDescent="0.25">
      <c r="A216" s="73" t="str">
        <f>IF(CCTSAS[[#This Row],[Carrière]]="","",IF(ISNA(VLOOKUP(CCTSAS[[#This Row],[Carrière]],DROPDOWN[Dropdown9],1,FALSE))=TRUE,"Carrière: Utiliser la liste déroulante",""))</f>
        <v/>
      </c>
      <c r="B216" s="8"/>
      <c r="C216" s="8"/>
      <c r="D216" s="8"/>
      <c r="E216" s="21"/>
      <c r="F216" s="64"/>
      <c r="G216" s="8"/>
      <c r="H216" s="8"/>
      <c r="I216" s="10"/>
      <c r="J216" s="10"/>
      <c r="K216" s="9"/>
      <c r="L216" s="9"/>
      <c r="M216" s="9"/>
      <c r="N216"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16" s="9"/>
      <c r="P216" s="9"/>
      <c r="Q216" s="8"/>
      <c r="R216" s="38"/>
      <c r="S216" s="38"/>
      <c r="T216" s="38"/>
      <c r="U216" s="38"/>
      <c r="V216" s="38"/>
      <c r="W216" s="38"/>
      <c r="X216" s="38"/>
      <c r="Y216"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16" s="38"/>
      <c r="AA216"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16" s="8"/>
      <c r="AC216" s="203"/>
      <c r="AD216"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16"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16" s="503"/>
      <c r="AG216" s="44"/>
      <c r="AH216" s="189" t="str">
        <f>IF(COUNTA(CCTSAS[[#This Row],[N°]:[heures annuelles
selon contrat(s)]])=0,"",REVEX!$E$9)</f>
        <v/>
      </c>
      <c r="AI216" s="73" t="str">
        <f>IF(CCTSAS[[#This Row],[Allocation fonctions]]="","",IF(ISNA(VLOOKUP(CCTSAS[[#This Row],[Allocation fonctions]],'Variable et Dropdowns'!H211:H227,1,FALSE))=TRUE,"Veuillez utiliser les allocations parmis la liste déroulante.",""))</f>
        <v/>
      </c>
    </row>
    <row r="217" spans="1:35" x14ac:dyDescent="0.25">
      <c r="A217" s="73" t="str">
        <f>IF(CCTSAS[[#This Row],[Carrière]]="","",IF(ISNA(VLOOKUP(CCTSAS[[#This Row],[Carrière]],DROPDOWN[Dropdown9],1,FALSE))=TRUE,"Carrière: Utiliser la liste déroulante",""))</f>
        <v/>
      </c>
      <c r="B217" s="8"/>
      <c r="C217" s="8"/>
      <c r="D217" s="8"/>
      <c r="E217" s="21"/>
      <c r="F217" s="64"/>
      <c r="G217" s="8"/>
      <c r="H217" s="8"/>
      <c r="I217" s="10"/>
      <c r="J217" s="10"/>
      <c r="K217" s="9"/>
      <c r="L217" s="9"/>
      <c r="M217" s="9"/>
      <c r="N217"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17" s="9"/>
      <c r="P217" s="9"/>
      <c r="Q217" s="8"/>
      <c r="R217" s="38"/>
      <c r="S217" s="38"/>
      <c r="T217" s="38"/>
      <c r="U217" s="38"/>
      <c r="V217" s="38"/>
      <c r="W217" s="38"/>
      <c r="X217" s="38"/>
      <c r="Y217"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17" s="38"/>
      <c r="AA217"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17" s="8"/>
      <c r="AC217" s="203"/>
      <c r="AD217"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17"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17" s="503"/>
      <c r="AG217" s="44"/>
      <c r="AH217" s="189" t="str">
        <f>IF(COUNTA(CCTSAS[[#This Row],[N°]:[heures annuelles
selon contrat(s)]])=0,"",REVEX!$E$9)</f>
        <v/>
      </c>
      <c r="AI217" s="73" t="str">
        <f>IF(CCTSAS[[#This Row],[Allocation fonctions]]="","",IF(ISNA(VLOOKUP(CCTSAS[[#This Row],[Allocation fonctions]],'Variable et Dropdowns'!H212:H228,1,FALSE))=TRUE,"Veuillez utiliser les allocations parmis la liste déroulante.",""))</f>
        <v/>
      </c>
    </row>
    <row r="218" spans="1:35" x14ac:dyDescent="0.25">
      <c r="A218" s="73" t="str">
        <f>IF(CCTSAS[[#This Row],[Carrière]]="","",IF(ISNA(VLOOKUP(CCTSAS[[#This Row],[Carrière]],DROPDOWN[Dropdown9],1,FALSE))=TRUE,"Carrière: Utiliser la liste déroulante",""))</f>
        <v/>
      </c>
      <c r="B218" s="8"/>
      <c r="C218" s="8"/>
      <c r="D218" s="8"/>
      <c r="E218" s="21"/>
      <c r="F218" s="64"/>
      <c r="G218" s="8"/>
      <c r="H218" s="8"/>
      <c r="I218" s="10"/>
      <c r="J218" s="10"/>
      <c r="K218" s="9"/>
      <c r="L218" s="9"/>
      <c r="M218" s="9"/>
      <c r="N218"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18" s="9"/>
      <c r="P218" s="9"/>
      <c r="Q218" s="8"/>
      <c r="R218" s="38"/>
      <c r="S218" s="38"/>
      <c r="T218" s="38"/>
      <c r="U218" s="38"/>
      <c r="V218" s="38"/>
      <c r="W218" s="38"/>
      <c r="X218" s="38"/>
      <c r="Y218"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18" s="38"/>
      <c r="AA218"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18" s="8"/>
      <c r="AC218" s="203"/>
      <c r="AD218"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18"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18" s="503"/>
      <c r="AG218" s="44"/>
      <c r="AH218" s="189" t="str">
        <f>IF(COUNTA(CCTSAS[[#This Row],[N°]:[heures annuelles
selon contrat(s)]])=0,"",REVEX!$E$9)</f>
        <v/>
      </c>
      <c r="AI218" s="73" t="str">
        <f>IF(CCTSAS[[#This Row],[Allocation fonctions]]="","",IF(ISNA(VLOOKUP(CCTSAS[[#This Row],[Allocation fonctions]],'Variable et Dropdowns'!H213:H229,1,FALSE))=TRUE,"Veuillez utiliser les allocations parmis la liste déroulante.",""))</f>
        <v/>
      </c>
    </row>
    <row r="219" spans="1:35" x14ac:dyDescent="0.25">
      <c r="A219" s="73" t="str">
        <f>IF(CCTSAS[[#This Row],[Carrière]]="","",IF(ISNA(VLOOKUP(CCTSAS[[#This Row],[Carrière]],DROPDOWN[Dropdown9],1,FALSE))=TRUE,"Carrière: Utiliser la liste déroulante",""))</f>
        <v/>
      </c>
      <c r="B219" s="8"/>
      <c r="C219" s="8"/>
      <c r="D219" s="8"/>
      <c r="E219" s="21"/>
      <c r="F219" s="64"/>
      <c r="G219" s="8"/>
      <c r="H219" s="8"/>
      <c r="I219" s="10"/>
      <c r="J219" s="10"/>
      <c r="K219" s="9"/>
      <c r="L219" s="9"/>
      <c r="M219" s="9"/>
      <c r="N219"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19" s="9"/>
      <c r="P219" s="9"/>
      <c r="Q219" s="8"/>
      <c r="R219" s="38"/>
      <c r="S219" s="38"/>
      <c r="T219" s="38"/>
      <c r="U219" s="38"/>
      <c r="V219" s="38"/>
      <c r="W219" s="38"/>
      <c r="X219" s="38"/>
      <c r="Y219"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19" s="38"/>
      <c r="AA219"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19" s="8"/>
      <c r="AC219" s="203"/>
      <c r="AD219"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19"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19" s="503"/>
      <c r="AG219" s="44"/>
      <c r="AH219" s="189" t="str">
        <f>IF(COUNTA(CCTSAS[[#This Row],[N°]:[heures annuelles
selon contrat(s)]])=0,"",REVEX!$E$9)</f>
        <v/>
      </c>
      <c r="AI219" s="73" t="str">
        <f>IF(CCTSAS[[#This Row],[Allocation fonctions]]="","",IF(ISNA(VLOOKUP(CCTSAS[[#This Row],[Allocation fonctions]],'Variable et Dropdowns'!H214:H230,1,FALSE))=TRUE,"Veuillez utiliser les allocations parmis la liste déroulante.",""))</f>
        <v/>
      </c>
    </row>
    <row r="220" spans="1:35" x14ac:dyDescent="0.25">
      <c r="A220" s="73" t="str">
        <f>IF(CCTSAS[[#This Row],[Carrière]]="","",IF(ISNA(VLOOKUP(CCTSAS[[#This Row],[Carrière]],DROPDOWN[Dropdown9],1,FALSE))=TRUE,"Carrière: Utiliser la liste déroulante",""))</f>
        <v/>
      </c>
      <c r="B220" s="8"/>
      <c r="C220" s="8"/>
      <c r="D220" s="8"/>
      <c r="E220" s="21"/>
      <c r="F220" s="64"/>
      <c r="G220" s="8"/>
      <c r="H220" s="8"/>
      <c r="I220" s="10"/>
      <c r="J220" s="10"/>
      <c r="K220" s="9"/>
      <c r="L220" s="9"/>
      <c r="M220" s="9"/>
      <c r="N220"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20" s="9"/>
      <c r="P220" s="9"/>
      <c r="Q220" s="8"/>
      <c r="R220" s="38"/>
      <c r="S220" s="38"/>
      <c r="T220" s="38"/>
      <c r="U220" s="38"/>
      <c r="V220" s="38"/>
      <c r="W220" s="38"/>
      <c r="X220" s="38"/>
      <c r="Y220"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20" s="38"/>
      <c r="AA220"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20" s="8"/>
      <c r="AC220" s="203"/>
      <c r="AD220"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20"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20" s="503"/>
      <c r="AG220" s="44"/>
      <c r="AH220" s="189" t="str">
        <f>IF(COUNTA(CCTSAS[[#This Row],[N°]:[heures annuelles
selon contrat(s)]])=0,"",REVEX!$E$9)</f>
        <v/>
      </c>
      <c r="AI220" s="73" t="str">
        <f>IF(CCTSAS[[#This Row],[Allocation fonctions]]="","",IF(ISNA(VLOOKUP(CCTSAS[[#This Row],[Allocation fonctions]],'Variable et Dropdowns'!H215:H231,1,FALSE))=TRUE,"Veuillez utiliser les allocations parmis la liste déroulante.",""))</f>
        <v/>
      </c>
    </row>
    <row r="221" spans="1:35" x14ac:dyDescent="0.25">
      <c r="A221" s="73" t="str">
        <f>IF(CCTSAS[[#This Row],[Carrière]]="","",IF(ISNA(VLOOKUP(CCTSAS[[#This Row],[Carrière]],DROPDOWN[Dropdown9],1,FALSE))=TRUE,"Carrière: Utiliser la liste déroulante",""))</f>
        <v/>
      </c>
      <c r="B221" s="8"/>
      <c r="C221" s="8"/>
      <c r="D221" s="8"/>
      <c r="E221" s="21"/>
      <c r="F221" s="64"/>
      <c r="G221" s="8"/>
      <c r="H221" s="8"/>
      <c r="I221" s="10"/>
      <c r="J221" s="10"/>
      <c r="K221" s="9"/>
      <c r="L221" s="9"/>
      <c r="M221" s="9"/>
      <c r="N221"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21" s="9"/>
      <c r="P221" s="9"/>
      <c r="Q221" s="8"/>
      <c r="R221" s="38"/>
      <c r="S221" s="38"/>
      <c r="T221" s="38"/>
      <c r="U221" s="38"/>
      <c r="V221" s="38"/>
      <c r="W221" s="38"/>
      <c r="X221" s="38"/>
      <c r="Y221"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21" s="38"/>
      <c r="AA221"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21" s="8"/>
      <c r="AC221" s="203"/>
      <c r="AD221"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21"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21" s="503"/>
      <c r="AG221" s="44"/>
      <c r="AH221" s="189" t="str">
        <f>IF(COUNTA(CCTSAS[[#This Row],[N°]:[heures annuelles
selon contrat(s)]])=0,"",REVEX!$E$9)</f>
        <v/>
      </c>
      <c r="AI221" s="73" t="str">
        <f>IF(CCTSAS[[#This Row],[Allocation fonctions]]="","",IF(ISNA(VLOOKUP(CCTSAS[[#This Row],[Allocation fonctions]],'Variable et Dropdowns'!H216:H232,1,FALSE))=TRUE,"Veuillez utiliser les allocations parmis la liste déroulante.",""))</f>
        <v/>
      </c>
    </row>
    <row r="222" spans="1:35" x14ac:dyDescent="0.25">
      <c r="A222" s="73" t="str">
        <f>IF(CCTSAS[[#This Row],[Carrière]]="","",IF(ISNA(VLOOKUP(CCTSAS[[#This Row],[Carrière]],DROPDOWN[Dropdown9],1,FALSE))=TRUE,"Carrière: Utiliser la liste déroulante",""))</f>
        <v/>
      </c>
      <c r="B222" s="8"/>
      <c r="C222" s="8"/>
      <c r="D222" s="8"/>
      <c r="E222" s="21"/>
      <c r="F222" s="64"/>
      <c r="G222" s="8"/>
      <c r="H222" s="8"/>
      <c r="I222" s="10"/>
      <c r="J222" s="10"/>
      <c r="K222" s="9"/>
      <c r="L222" s="9"/>
      <c r="M222" s="9"/>
      <c r="N222"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22" s="9"/>
      <c r="P222" s="9"/>
      <c r="Q222" s="8"/>
      <c r="R222" s="38"/>
      <c r="S222" s="38"/>
      <c r="T222" s="38"/>
      <c r="U222" s="38"/>
      <c r="V222" s="38"/>
      <c r="W222" s="38"/>
      <c r="X222" s="38"/>
      <c r="Y222"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22" s="38"/>
      <c r="AA222"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22" s="8"/>
      <c r="AC222" s="203"/>
      <c r="AD222"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22"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22" s="503"/>
      <c r="AG222" s="44"/>
      <c r="AH222" s="189" t="str">
        <f>IF(COUNTA(CCTSAS[[#This Row],[N°]:[heures annuelles
selon contrat(s)]])=0,"",REVEX!$E$9)</f>
        <v/>
      </c>
      <c r="AI222" s="73" t="str">
        <f>IF(CCTSAS[[#This Row],[Allocation fonctions]]="","",IF(ISNA(VLOOKUP(CCTSAS[[#This Row],[Allocation fonctions]],'Variable et Dropdowns'!H217:H233,1,FALSE))=TRUE,"Veuillez utiliser les allocations parmis la liste déroulante.",""))</f>
        <v/>
      </c>
    </row>
    <row r="223" spans="1:35" x14ac:dyDescent="0.25">
      <c r="A223" s="73" t="str">
        <f>IF(CCTSAS[[#This Row],[Carrière]]="","",IF(ISNA(VLOOKUP(CCTSAS[[#This Row],[Carrière]],DROPDOWN[Dropdown9],1,FALSE))=TRUE,"Carrière: Utiliser la liste déroulante",""))</f>
        <v/>
      </c>
      <c r="B223" s="8"/>
      <c r="C223" s="8"/>
      <c r="D223" s="8"/>
      <c r="E223" s="21"/>
      <c r="F223" s="64"/>
      <c r="G223" s="8"/>
      <c r="H223" s="8"/>
      <c r="I223" s="10"/>
      <c r="J223" s="10"/>
      <c r="K223" s="9"/>
      <c r="L223" s="9"/>
      <c r="M223" s="9"/>
      <c r="N223"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23" s="9"/>
      <c r="P223" s="9"/>
      <c r="Q223" s="8"/>
      <c r="R223" s="38"/>
      <c r="S223" s="38"/>
      <c r="T223" s="38"/>
      <c r="U223" s="38"/>
      <c r="V223" s="38"/>
      <c r="W223" s="38"/>
      <c r="X223" s="38"/>
      <c r="Y223"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23" s="38"/>
      <c r="AA223"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23" s="8"/>
      <c r="AC223" s="203"/>
      <c r="AD223"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23"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23" s="503"/>
      <c r="AG223" s="44"/>
      <c r="AH223" s="189" t="str">
        <f>IF(COUNTA(CCTSAS[[#This Row],[N°]:[heures annuelles
selon contrat(s)]])=0,"",REVEX!$E$9)</f>
        <v/>
      </c>
      <c r="AI223" s="73" t="str">
        <f>IF(CCTSAS[[#This Row],[Allocation fonctions]]="","",IF(ISNA(VLOOKUP(CCTSAS[[#This Row],[Allocation fonctions]],'Variable et Dropdowns'!H218:H234,1,FALSE))=TRUE,"Veuillez utiliser les allocations parmis la liste déroulante.",""))</f>
        <v/>
      </c>
    </row>
    <row r="224" spans="1:35" x14ac:dyDescent="0.25">
      <c r="A224" s="73" t="str">
        <f>IF(CCTSAS[[#This Row],[Carrière]]="","",IF(ISNA(VLOOKUP(CCTSAS[[#This Row],[Carrière]],DROPDOWN[Dropdown9],1,FALSE))=TRUE,"Carrière: Utiliser la liste déroulante",""))</f>
        <v/>
      </c>
      <c r="B224" s="8"/>
      <c r="C224" s="8"/>
      <c r="D224" s="8"/>
      <c r="E224" s="21"/>
      <c r="F224" s="64"/>
      <c r="G224" s="8"/>
      <c r="H224" s="8"/>
      <c r="I224" s="10"/>
      <c r="J224" s="10"/>
      <c r="K224" s="9"/>
      <c r="L224" s="9"/>
      <c r="M224" s="9"/>
      <c r="N224"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24" s="9"/>
      <c r="P224" s="9"/>
      <c r="Q224" s="8"/>
      <c r="R224" s="38"/>
      <c r="S224" s="38"/>
      <c r="T224" s="38"/>
      <c r="U224" s="38"/>
      <c r="V224" s="38"/>
      <c r="W224" s="38"/>
      <c r="X224" s="38"/>
      <c r="Y224"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24" s="38"/>
      <c r="AA224"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24" s="8"/>
      <c r="AC224" s="203"/>
      <c r="AD224"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24"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24" s="503"/>
      <c r="AG224" s="44"/>
      <c r="AH224" s="189" t="str">
        <f>IF(COUNTA(CCTSAS[[#This Row],[N°]:[heures annuelles
selon contrat(s)]])=0,"",REVEX!$E$9)</f>
        <v/>
      </c>
      <c r="AI224" s="73" t="str">
        <f>IF(CCTSAS[[#This Row],[Allocation fonctions]]="","",IF(ISNA(VLOOKUP(CCTSAS[[#This Row],[Allocation fonctions]],'Variable et Dropdowns'!H219:H235,1,FALSE))=TRUE,"Veuillez utiliser les allocations parmis la liste déroulante.",""))</f>
        <v/>
      </c>
    </row>
    <row r="225" spans="1:35" x14ac:dyDescent="0.25">
      <c r="A225" s="73" t="str">
        <f>IF(CCTSAS[[#This Row],[Carrière]]="","",IF(ISNA(VLOOKUP(CCTSAS[[#This Row],[Carrière]],DROPDOWN[Dropdown9],1,FALSE))=TRUE,"Carrière: Utiliser la liste déroulante",""))</f>
        <v/>
      </c>
      <c r="B225" s="8"/>
      <c r="C225" s="8"/>
      <c r="D225" s="8"/>
      <c r="E225" s="21"/>
      <c r="F225" s="64"/>
      <c r="G225" s="8"/>
      <c r="H225" s="8"/>
      <c r="I225" s="10"/>
      <c r="J225" s="10"/>
      <c r="K225" s="9"/>
      <c r="L225" s="9"/>
      <c r="M225" s="9"/>
      <c r="N225"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25" s="9"/>
      <c r="P225" s="9"/>
      <c r="Q225" s="8"/>
      <c r="R225" s="38"/>
      <c r="S225" s="38"/>
      <c r="T225" s="38"/>
      <c r="U225" s="38"/>
      <c r="V225" s="38"/>
      <c r="W225" s="38"/>
      <c r="X225" s="38"/>
      <c r="Y225"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25" s="38"/>
      <c r="AA225"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25" s="8"/>
      <c r="AC225" s="203"/>
      <c r="AD225"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25"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25" s="503"/>
      <c r="AG225" s="44"/>
      <c r="AH225" s="189" t="str">
        <f>IF(COUNTA(CCTSAS[[#This Row],[N°]:[heures annuelles
selon contrat(s)]])=0,"",REVEX!$E$9)</f>
        <v/>
      </c>
      <c r="AI225" s="73" t="str">
        <f>IF(CCTSAS[[#This Row],[Allocation fonctions]]="","",IF(ISNA(VLOOKUP(CCTSAS[[#This Row],[Allocation fonctions]],'Variable et Dropdowns'!H220:H236,1,FALSE))=TRUE,"Veuillez utiliser les allocations parmis la liste déroulante.",""))</f>
        <v/>
      </c>
    </row>
    <row r="226" spans="1:35" x14ac:dyDescent="0.25">
      <c r="A226" s="73" t="str">
        <f>IF(CCTSAS[[#This Row],[Carrière]]="","",IF(ISNA(VLOOKUP(CCTSAS[[#This Row],[Carrière]],DROPDOWN[Dropdown9],1,FALSE))=TRUE,"Carrière: Utiliser la liste déroulante",""))</f>
        <v/>
      </c>
      <c r="B226" s="8"/>
      <c r="C226" s="8"/>
      <c r="D226" s="8"/>
      <c r="E226" s="21"/>
      <c r="F226" s="64"/>
      <c r="G226" s="8"/>
      <c r="H226" s="8"/>
      <c r="I226" s="10"/>
      <c r="J226" s="10"/>
      <c r="K226" s="9"/>
      <c r="L226" s="9"/>
      <c r="M226" s="9"/>
      <c r="N226"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26" s="9"/>
      <c r="P226" s="9"/>
      <c r="Q226" s="8"/>
      <c r="R226" s="38"/>
      <c r="S226" s="38"/>
      <c r="T226" s="38"/>
      <c r="U226" s="38"/>
      <c r="V226" s="38"/>
      <c r="W226" s="38"/>
      <c r="X226" s="38"/>
      <c r="Y226"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26" s="38"/>
      <c r="AA226"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26" s="8"/>
      <c r="AC226" s="203"/>
      <c r="AD226"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26"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26" s="503"/>
      <c r="AG226" s="44"/>
      <c r="AH226" s="189" t="str">
        <f>IF(COUNTA(CCTSAS[[#This Row],[N°]:[heures annuelles
selon contrat(s)]])=0,"",REVEX!$E$9)</f>
        <v/>
      </c>
      <c r="AI226" s="73" t="str">
        <f>IF(CCTSAS[[#This Row],[Allocation fonctions]]="","",IF(ISNA(VLOOKUP(CCTSAS[[#This Row],[Allocation fonctions]],'Variable et Dropdowns'!H221:H237,1,FALSE))=TRUE,"Veuillez utiliser les allocations parmis la liste déroulante.",""))</f>
        <v/>
      </c>
    </row>
    <row r="227" spans="1:35" x14ac:dyDescent="0.25">
      <c r="A227" s="73" t="str">
        <f>IF(CCTSAS[[#This Row],[Carrière]]="","",IF(ISNA(VLOOKUP(CCTSAS[[#This Row],[Carrière]],DROPDOWN[Dropdown9],1,FALSE))=TRUE,"Carrière: Utiliser la liste déroulante",""))</f>
        <v/>
      </c>
      <c r="B227" s="8"/>
      <c r="C227" s="8"/>
      <c r="D227" s="8"/>
      <c r="E227" s="21"/>
      <c r="F227" s="64"/>
      <c r="G227" s="8"/>
      <c r="H227" s="8"/>
      <c r="I227" s="10"/>
      <c r="J227" s="10"/>
      <c r="K227" s="9"/>
      <c r="L227" s="9"/>
      <c r="M227" s="9"/>
      <c r="N227"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27" s="9"/>
      <c r="P227" s="9"/>
      <c r="Q227" s="8"/>
      <c r="R227" s="38"/>
      <c r="S227" s="38"/>
      <c r="T227" s="38"/>
      <c r="U227" s="38"/>
      <c r="V227" s="38"/>
      <c r="W227" s="38"/>
      <c r="X227" s="38"/>
      <c r="Y227"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27" s="38"/>
      <c r="AA227"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27" s="8"/>
      <c r="AC227" s="203"/>
      <c r="AD227"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27"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27" s="503"/>
      <c r="AG227" s="44"/>
      <c r="AH227" s="189" t="str">
        <f>IF(COUNTA(CCTSAS[[#This Row],[N°]:[heures annuelles
selon contrat(s)]])=0,"",REVEX!$E$9)</f>
        <v/>
      </c>
      <c r="AI227" s="73" t="str">
        <f>IF(CCTSAS[[#This Row],[Allocation fonctions]]="","",IF(ISNA(VLOOKUP(CCTSAS[[#This Row],[Allocation fonctions]],'Variable et Dropdowns'!H222:H238,1,FALSE))=TRUE,"Veuillez utiliser les allocations parmis la liste déroulante.",""))</f>
        <v/>
      </c>
    </row>
    <row r="228" spans="1:35" x14ac:dyDescent="0.25">
      <c r="A228" s="73" t="str">
        <f>IF(CCTSAS[[#This Row],[Carrière]]="","",IF(ISNA(VLOOKUP(CCTSAS[[#This Row],[Carrière]],DROPDOWN[Dropdown9],1,FALSE))=TRUE,"Carrière: Utiliser la liste déroulante",""))</f>
        <v/>
      </c>
      <c r="B228" s="8"/>
      <c r="C228" s="8"/>
      <c r="D228" s="8"/>
      <c r="E228" s="21"/>
      <c r="F228" s="64"/>
      <c r="G228" s="8"/>
      <c r="H228" s="8"/>
      <c r="I228" s="10"/>
      <c r="J228" s="10"/>
      <c r="K228" s="9"/>
      <c r="L228" s="9"/>
      <c r="M228" s="9"/>
      <c r="N228"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28" s="9"/>
      <c r="P228" s="9"/>
      <c r="Q228" s="8"/>
      <c r="R228" s="38"/>
      <c r="S228" s="38"/>
      <c r="T228" s="38"/>
      <c r="U228" s="38"/>
      <c r="V228" s="38"/>
      <c r="W228" s="38"/>
      <c r="X228" s="38"/>
      <c r="Y228"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28" s="38"/>
      <c r="AA228"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28" s="8"/>
      <c r="AC228" s="203"/>
      <c r="AD228"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28"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28" s="503"/>
      <c r="AG228" s="44"/>
      <c r="AH228" s="189" t="str">
        <f>IF(COUNTA(CCTSAS[[#This Row],[N°]:[heures annuelles
selon contrat(s)]])=0,"",REVEX!$E$9)</f>
        <v/>
      </c>
      <c r="AI228" s="73" t="str">
        <f>IF(CCTSAS[[#This Row],[Allocation fonctions]]="","",IF(ISNA(VLOOKUP(CCTSAS[[#This Row],[Allocation fonctions]],'Variable et Dropdowns'!H223:H239,1,FALSE))=TRUE,"Veuillez utiliser les allocations parmis la liste déroulante.",""))</f>
        <v/>
      </c>
    </row>
    <row r="229" spans="1:35" x14ac:dyDescent="0.25">
      <c r="A229" s="73" t="str">
        <f>IF(CCTSAS[[#This Row],[Carrière]]="","",IF(ISNA(VLOOKUP(CCTSAS[[#This Row],[Carrière]],DROPDOWN[Dropdown9],1,FALSE))=TRUE,"Carrière: Utiliser la liste déroulante",""))</f>
        <v/>
      </c>
      <c r="B229" s="8"/>
      <c r="C229" s="8"/>
      <c r="D229" s="8"/>
      <c r="E229" s="21"/>
      <c r="F229" s="64"/>
      <c r="G229" s="8"/>
      <c r="H229" s="8"/>
      <c r="I229" s="10"/>
      <c r="J229" s="10"/>
      <c r="K229" s="9"/>
      <c r="L229" s="9"/>
      <c r="M229" s="9"/>
      <c r="N229"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29" s="9"/>
      <c r="P229" s="9"/>
      <c r="Q229" s="8"/>
      <c r="R229" s="38"/>
      <c r="S229" s="38"/>
      <c r="T229" s="38"/>
      <c r="U229" s="38"/>
      <c r="V229" s="38"/>
      <c r="W229" s="38"/>
      <c r="X229" s="38"/>
      <c r="Y229"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29" s="38"/>
      <c r="AA229"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29" s="8"/>
      <c r="AC229" s="203"/>
      <c r="AD229"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29"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29" s="503"/>
      <c r="AG229" s="44"/>
      <c r="AH229" s="189" t="str">
        <f>IF(COUNTA(CCTSAS[[#This Row],[N°]:[heures annuelles
selon contrat(s)]])=0,"",REVEX!$E$9)</f>
        <v/>
      </c>
      <c r="AI229" s="73" t="str">
        <f>IF(CCTSAS[[#This Row],[Allocation fonctions]]="","",IF(ISNA(VLOOKUP(CCTSAS[[#This Row],[Allocation fonctions]],'Variable et Dropdowns'!H224:H240,1,FALSE))=TRUE,"Veuillez utiliser les allocations parmis la liste déroulante.",""))</f>
        <v/>
      </c>
    </row>
    <row r="230" spans="1:35" x14ac:dyDescent="0.25">
      <c r="A230" s="73" t="str">
        <f>IF(CCTSAS[[#This Row],[Carrière]]="","",IF(ISNA(VLOOKUP(CCTSAS[[#This Row],[Carrière]],DROPDOWN[Dropdown9],1,FALSE))=TRUE,"Carrière: Utiliser la liste déroulante",""))</f>
        <v/>
      </c>
      <c r="B230" s="8"/>
      <c r="C230" s="8"/>
      <c r="D230" s="8"/>
      <c r="E230" s="21"/>
      <c r="F230" s="64"/>
      <c r="G230" s="8"/>
      <c r="H230" s="8"/>
      <c r="I230" s="10"/>
      <c r="J230" s="10"/>
      <c r="K230" s="9"/>
      <c r="L230" s="9"/>
      <c r="M230" s="9"/>
      <c r="N230"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30" s="9"/>
      <c r="P230" s="9"/>
      <c r="Q230" s="8"/>
      <c r="R230" s="38"/>
      <c r="S230" s="38"/>
      <c r="T230" s="38"/>
      <c r="U230" s="38"/>
      <c r="V230" s="38"/>
      <c r="W230" s="38"/>
      <c r="X230" s="38"/>
      <c r="Y230"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30" s="38"/>
      <c r="AA230"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30" s="8"/>
      <c r="AC230" s="203"/>
      <c r="AD230"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30"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30" s="503"/>
      <c r="AG230" s="44"/>
      <c r="AH230" s="189" t="str">
        <f>IF(COUNTA(CCTSAS[[#This Row],[N°]:[heures annuelles
selon contrat(s)]])=0,"",REVEX!$E$9)</f>
        <v/>
      </c>
      <c r="AI230" s="73" t="str">
        <f>IF(CCTSAS[[#This Row],[Allocation fonctions]]="","",IF(ISNA(VLOOKUP(CCTSAS[[#This Row],[Allocation fonctions]],'Variable et Dropdowns'!H225:H241,1,FALSE))=TRUE,"Veuillez utiliser les allocations parmis la liste déroulante.",""))</f>
        <v/>
      </c>
    </row>
    <row r="231" spans="1:35" x14ac:dyDescent="0.25">
      <c r="A231" s="73" t="str">
        <f>IF(CCTSAS[[#This Row],[Carrière]]="","",IF(ISNA(VLOOKUP(CCTSAS[[#This Row],[Carrière]],DROPDOWN[Dropdown9],1,FALSE))=TRUE,"Carrière: Utiliser la liste déroulante",""))</f>
        <v/>
      </c>
      <c r="B231" s="8"/>
      <c r="C231" s="8"/>
      <c r="D231" s="8"/>
      <c r="E231" s="21"/>
      <c r="F231" s="64"/>
      <c r="G231" s="8"/>
      <c r="H231" s="8"/>
      <c r="I231" s="10"/>
      <c r="J231" s="10"/>
      <c r="K231" s="9"/>
      <c r="L231" s="9"/>
      <c r="M231" s="9"/>
      <c r="N231"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31" s="9"/>
      <c r="P231" s="9"/>
      <c r="Q231" s="8"/>
      <c r="R231" s="38"/>
      <c r="S231" s="38"/>
      <c r="T231" s="38"/>
      <c r="U231" s="38"/>
      <c r="V231" s="38"/>
      <c r="W231" s="38"/>
      <c r="X231" s="38"/>
      <c r="Y231"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31" s="38"/>
      <c r="AA231"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31" s="8"/>
      <c r="AC231" s="203"/>
      <c r="AD231"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31"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31" s="503"/>
      <c r="AG231" s="44"/>
      <c r="AH231" s="189" t="str">
        <f>IF(COUNTA(CCTSAS[[#This Row],[N°]:[heures annuelles
selon contrat(s)]])=0,"",REVEX!$E$9)</f>
        <v/>
      </c>
      <c r="AI231" s="73" t="str">
        <f>IF(CCTSAS[[#This Row],[Allocation fonctions]]="","",IF(ISNA(VLOOKUP(CCTSAS[[#This Row],[Allocation fonctions]],'Variable et Dropdowns'!H226:H242,1,FALSE))=TRUE,"Veuillez utiliser les allocations parmis la liste déroulante.",""))</f>
        <v/>
      </c>
    </row>
    <row r="232" spans="1:35" x14ac:dyDescent="0.25">
      <c r="A232" s="73" t="str">
        <f>IF(CCTSAS[[#This Row],[Carrière]]="","",IF(ISNA(VLOOKUP(CCTSAS[[#This Row],[Carrière]],DROPDOWN[Dropdown9],1,FALSE))=TRUE,"Carrière: Utiliser la liste déroulante",""))</f>
        <v/>
      </c>
      <c r="B232" s="8"/>
      <c r="C232" s="8"/>
      <c r="D232" s="8"/>
      <c r="E232" s="21"/>
      <c r="F232" s="64"/>
      <c r="G232" s="8"/>
      <c r="H232" s="8"/>
      <c r="I232" s="10"/>
      <c r="J232" s="10"/>
      <c r="K232" s="9"/>
      <c r="L232" s="9"/>
      <c r="M232" s="9"/>
      <c r="N232"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32" s="9"/>
      <c r="P232" s="9"/>
      <c r="Q232" s="8"/>
      <c r="R232" s="38"/>
      <c r="S232" s="38"/>
      <c r="T232" s="38"/>
      <c r="U232" s="38"/>
      <c r="V232" s="38"/>
      <c r="W232" s="38"/>
      <c r="X232" s="38"/>
      <c r="Y232"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32" s="38"/>
      <c r="AA232"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32" s="8"/>
      <c r="AC232" s="203"/>
      <c r="AD232"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32"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32" s="503"/>
      <c r="AG232" s="44"/>
      <c r="AH232" s="189" t="str">
        <f>IF(COUNTA(CCTSAS[[#This Row],[N°]:[heures annuelles
selon contrat(s)]])=0,"",REVEX!$E$9)</f>
        <v/>
      </c>
      <c r="AI232" s="73" t="str">
        <f>IF(CCTSAS[[#This Row],[Allocation fonctions]]="","",IF(ISNA(VLOOKUP(CCTSAS[[#This Row],[Allocation fonctions]],'Variable et Dropdowns'!H227:H243,1,FALSE))=TRUE,"Veuillez utiliser les allocations parmis la liste déroulante.",""))</f>
        <v/>
      </c>
    </row>
    <row r="233" spans="1:35" x14ac:dyDescent="0.25">
      <c r="A233" s="73" t="str">
        <f>IF(CCTSAS[[#This Row],[Carrière]]="","",IF(ISNA(VLOOKUP(CCTSAS[[#This Row],[Carrière]],DROPDOWN[Dropdown9],1,FALSE))=TRUE,"Carrière: Utiliser la liste déroulante",""))</f>
        <v/>
      </c>
      <c r="B233" s="8"/>
      <c r="C233" s="8"/>
      <c r="D233" s="8"/>
      <c r="E233" s="21"/>
      <c r="F233" s="64"/>
      <c r="G233" s="8"/>
      <c r="H233" s="8"/>
      <c r="I233" s="10"/>
      <c r="J233" s="10"/>
      <c r="K233" s="9"/>
      <c r="L233" s="9"/>
      <c r="M233" s="9"/>
      <c r="N233"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33" s="9"/>
      <c r="P233" s="9"/>
      <c r="Q233" s="8"/>
      <c r="R233" s="38"/>
      <c r="S233" s="38"/>
      <c r="T233" s="38"/>
      <c r="U233" s="38"/>
      <c r="V233" s="38"/>
      <c r="W233" s="38"/>
      <c r="X233" s="38"/>
      <c r="Y233"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33" s="38"/>
      <c r="AA233"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33" s="8"/>
      <c r="AC233" s="203"/>
      <c r="AD233"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33"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33" s="503"/>
      <c r="AG233" s="44"/>
      <c r="AH233" s="189" t="str">
        <f>IF(COUNTA(CCTSAS[[#This Row],[N°]:[heures annuelles
selon contrat(s)]])=0,"",REVEX!$E$9)</f>
        <v/>
      </c>
      <c r="AI233" s="73" t="str">
        <f>IF(CCTSAS[[#This Row],[Allocation fonctions]]="","",IF(ISNA(VLOOKUP(CCTSAS[[#This Row],[Allocation fonctions]],'Variable et Dropdowns'!H228:H244,1,FALSE))=TRUE,"Veuillez utiliser les allocations parmis la liste déroulante.",""))</f>
        <v/>
      </c>
    </row>
    <row r="234" spans="1:35" x14ac:dyDescent="0.25">
      <c r="A234" s="73" t="str">
        <f>IF(CCTSAS[[#This Row],[Carrière]]="","",IF(ISNA(VLOOKUP(CCTSAS[[#This Row],[Carrière]],DROPDOWN[Dropdown9],1,FALSE))=TRUE,"Carrière: Utiliser la liste déroulante",""))</f>
        <v/>
      </c>
      <c r="B234" s="8"/>
      <c r="C234" s="8"/>
      <c r="D234" s="8"/>
      <c r="E234" s="21"/>
      <c r="F234" s="64"/>
      <c r="G234" s="8"/>
      <c r="H234" s="8"/>
      <c r="I234" s="10"/>
      <c r="J234" s="10"/>
      <c r="K234" s="9"/>
      <c r="L234" s="9"/>
      <c r="M234" s="9"/>
      <c r="N234"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34" s="9"/>
      <c r="P234" s="9"/>
      <c r="Q234" s="8"/>
      <c r="R234" s="38"/>
      <c r="S234" s="38"/>
      <c r="T234" s="38"/>
      <c r="U234" s="38"/>
      <c r="V234" s="38"/>
      <c r="W234" s="38"/>
      <c r="X234" s="38"/>
      <c r="Y234"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34" s="38"/>
      <c r="AA234"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34" s="8"/>
      <c r="AC234" s="203"/>
      <c r="AD234"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34"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34" s="503"/>
      <c r="AG234" s="44"/>
      <c r="AH234" s="189" t="str">
        <f>IF(COUNTA(CCTSAS[[#This Row],[N°]:[heures annuelles
selon contrat(s)]])=0,"",REVEX!$E$9)</f>
        <v/>
      </c>
      <c r="AI234" s="73" t="str">
        <f>IF(CCTSAS[[#This Row],[Allocation fonctions]]="","",IF(ISNA(VLOOKUP(CCTSAS[[#This Row],[Allocation fonctions]],'Variable et Dropdowns'!H229:H245,1,FALSE))=TRUE,"Veuillez utiliser les allocations parmis la liste déroulante.",""))</f>
        <v/>
      </c>
    </row>
    <row r="235" spans="1:35" x14ac:dyDescent="0.25">
      <c r="A235" s="73" t="str">
        <f>IF(CCTSAS[[#This Row],[Carrière]]="","",IF(ISNA(VLOOKUP(CCTSAS[[#This Row],[Carrière]],DROPDOWN[Dropdown9],1,FALSE))=TRUE,"Carrière: Utiliser la liste déroulante",""))</f>
        <v/>
      </c>
      <c r="B235" s="8"/>
      <c r="C235" s="8"/>
      <c r="D235" s="8"/>
      <c r="E235" s="21"/>
      <c r="F235" s="64"/>
      <c r="G235" s="8"/>
      <c r="H235" s="8"/>
      <c r="I235" s="10"/>
      <c r="J235" s="10"/>
      <c r="K235" s="9"/>
      <c r="L235" s="9"/>
      <c r="M235" s="9"/>
      <c r="N235"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35" s="9"/>
      <c r="P235" s="9"/>
      <c r="Q235" s="8"/>
      <c r="R235" s="38"/>
      <c r="S235" s="38"/>
      <c r="T235" s="38"/>
      <c r="U235" s="38"/>
      <c r="V235" s="38"/>
      <c r="W235" s="38"/>
      <c r="X235" s="38"/>
      <c r="Y235"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35" s="38"/>
      <c r="AA235"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35" s="8"/>
      <c r="AC235" s="203"/>
      <c r="AD235"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35"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35" s="503"/>
      <c r="AG235" s="44"/>
      <c r="AH235" s="189" t="str">
        <f>IF(COUNTA(CCTSAS[[#This Row],[N°]:[heures annuelles
selon contrat(s)]])=0,"",REVEX!$E$9)</f>
        <v/>
      </c>
      <c r="AI235" s="73" t="str">
        <f>IF(CCTSAS[[#This Row],[Allocation fonctions]]="","",IF(ISNA(VLOOKUP(CCTSAS[[#This Row],[Allocation fonctions]],'Variable et Dropdowns'!H230:H246,1,FALSE))=TRUE,"Veuillez utiliser les allocations parmis la liste déroulante.",""))</f>
        <v/>
      </c>
    </row>
    <row r="236" spans="1:35" x14ac:dyDescent="0.25">
      <c r="A236" s="73" t="str">
        <f>IF(CCTSAS[[#This Row],[Carrière]]="","",IF(ISNA(VLOOKUP(CCTSAS[[#This Row],[Carrière]],DROPDOWN[Dropdown9],1,FALSE))=TRUE,"Carrière: Utiliser la liste déroulante",""))</f>
        <v/>
      </c>
      <c r="B236" s="8"/>
      <c r="C236" s="8"/>
      <c r="D236" s="8"/>
      <c r="E236" s="21"/>
      <c r="F236" s="64"/>
      <c r="G236" s="8"/>
      <c r="H236" s="8"/>
      <c r="I236" s="10"/>
      <c r="J236" s="10"/>
      <c r="K236" s="9"/>
      <c r="L236" s="9"/>
      <c r="M236" s="9"/>
      <c r="N236"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36" s="9"/>
      <c r="P236" s="9"/>
      <c r="Q236" s="8"/>
      <c r="R236" s="38"/>
      <c r="S236" s="38"/>
      <c r="T236" s="38"/>
      <c r="U236" s="38"/>
      <c r="V236" s="38"/>
      <c r="W236" s="38"/>
      <c r="X236" s="38"/>
      <c r="Y236"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36" s="38"/>
      <c r="AA236"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36" s="8"/>
      <c r="AC236" s="203"/>
      <c r="AD236"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36"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36" s="503"/>
      <c r="AG236" s="44"/>
      <c r="AH236" s="189" t="str">
        <f>IF(COUNTA(CCTSAS[[#This Row],[N°]:[heures annuelles
selon contrat(s)]])=0,"",REVEX!$E$9)</f>
        <v/>
      </c>
      <c r="AI236" s="73" t="str">
        <f>IF(CCTSAS[[#This Row],[Allocation fonctions]]="","",IF(ISNA(VLOOKUP(CCTSAS[[#This Row],[Allocation fonctions]],'Variable et Dropdowns'!H231:H247,1,FALSE))=TRUE,"Veuillez utiliser les allocations parmis la liste déroulante.",""))</f>
        <v/>
      </c>
    </row>
    <row r="237" spans="1:35" x14ac:dyDescent="0.25">
      <c r="A237" s="73" t="str">
        <f>IF(CCTSAS[[#This Row],[Carrière]]="","",IF(ISNA(VLOOKUP(CCTSAS[[#This Row],[Carrière]],DROPDOWN[Dropdown9],1,FALSE))=TRUE,"Carrière: Utiliser la liste déroulante",""))</f>
        <v/>
      </c>
      <c r="B237" s="8"/>
      <c r="C237" s="8"/>
      <c r="D237" s="8"/>
      <c r="E237" s="21"/>
      <c r="F237" s="64"/>
      <c r="G237" s="8"/>
      <c r="H237" s="8"/>
      <c r="I237" s="10"/>
      <c r="J237" s="10"/>
      <c r="K237" s="9"/>
      <c r="L237" s="9"/>
      <c r="M237" s="9"/>
      <c r="N237"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37" s="9"/>
      <c r="P237" s="9"/>
      <c r="Q237" s="8"/>
      <c r="R237" s="38"/>
      <c r="S237" s="38"/>
      <c r="T237" s="38"/>
      <c r="U237" s="38"/>
      <c r="V237" s="38"/>
      <c r="W237" s="38"/>
      <c r="X237" s="38"/>
      <c r="Y237"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37" s="38"/>
      <c r="AA237"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37" s="8"/>
      <c r="AC237" s="203"/>
      <c r="AD237"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37"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37" s="503"/>
      <c r="AG237" s="44"/>
      <c r="AH237" s="189" t="str">
        <f>IF(COUNTA(CCTSAS[[#This Row],[N°]:[heures annuelles
selon contrat(s)]])=0,"",REVEX!$E$9)</f>
        <v/>
      </c>
      <c r="AI237" s="73" t="str">
        <f>IF(CCTSAS[[#This Row],[Allocation fonctions]]="","",IF(ISNA(VLOOKUP(CCTSAS[[#This Row],[Allocation fonctions]],'Variable et Dropdowns'!H232:H248,1,FALSE))=TRUE,"Veuillez utiliser les allocations parmis la liste déroulante.",""))</f>
        <v/>
      </c>
    </row>
    <row r="238" spans="1:35" x14ac:dyDescent="0.25">
      <c r="A238" s="73" t="str">
        <f>IF(CCTSAS[[#This Row],[Carrière]]="","",IF(ISNA(VLOOKUP(CCTSAS[[#This Row],[Carrière]],DROPDOWN[Dropdown9],1,FALSE))=TRUE,"Carrière: Utiliser la liste déroulante",""))</f>
        <v/>
      </c>
      <c r="B238" s="8"/>
      <c r="C238" s="8"/>
      <c r="D238" s="8"/>
      <c r="E238" s="21"/>
      <c r="F238" s="64"/>
      <c r="G238" s="8"/>
      <c r="H238" s="8"/>
      <c r="I238" s="10"/>
      <c r="J238" s="10"/>
      <c r="K238" s="9"/>
      <c r="L238" s="9"/>
      <c r="M238" s="9"/>
      <c r="N238"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38" s="9"/>
      <c r="P238" s="9"/>
      <c r="Q238" s="8"/>
      <c r="R238" s="38"/>
      <c r="S238" s="38"/>
      <c r="T238" s="38"/>
      <c r="U238" s="38"/>
      <c r="V238" s="38"/>
      <c r="W238" s="38"/>
      <c r="X238" s="38"/>
      <c r="Y238"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38" s="38"/>
      <c r="AA238"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38" s="8"/>
      <c r="AC238" s="203"/>
      <c r="AD238"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38"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38" s="503"/>
      <c r="AG238" s="44"/>
      <c r="AH238" s="189" t="str">
        <f>IF(COUNTA(CCTSAS[[#This Row],[N°]:[heures annuelles
selon contrat(s)]])=0,"",REVEX!$E$9)</f>
        <v/>
      </c>
      <c r="AI238" s="73" t="str">
        <f>IF(CCTSAS[[#This Row],[Allocation fonctions]]="","",IF(ISNA(VLOOKUP(CCTSAS[[#This Row],[Allocation fonctions]],'Variable et Dropdowns'!H233:H249,1,FALSE))=TRUE,"Veuillez utiliser les allocations parmis la liste déroulante.",""))</f>
        <v/>
      </c>
    </row>
    <row r="239" spans="1:35" x14ac:dyDescent="0.25">
      <c r="A239" s="73" t="str">
        <f>IF(CCTSAS[[#This Row],[Carrière]]="","",IF(ISNA(VLOOKUP(CCTSAS[[#This Row],[Carrière]],DROPDOWN[Dropdown9],1,FALSE))=TRUE,"Carrière: Utiliser la liste déroulante",""))</f>
        <v/>
      </c>
      <c r="B239" s="8"/>
      <c r="C239" s="8"/>
      <c r="D239" s="8"/>
      <c r="E239" s="21"/>
      <c r="F239" s="64"/>
      <c r="G239" s="8"/>
      <c r="H239" s="8"/>
      <c r="I239" s="10"/>
      <c r="J239" s="10"/>
      <c r="K239" s="9"/>
      <c r="L239" s="9"/>
      <c r="M239" s="9"/>
      <c r="N239"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39" s="9"/>
      <c r="P239" s="9"/>
      <c r="Q239" s="8"/>
      <c r="R239" s="38"/>
      <c r="S239" s="38"/>
      <c r="T239" s="38"/>
      <c r="U239" s="38"/>
      <c r="V239" s="38"/>
      <c r="W239" s="38"/>
      <c r="X239" s="38"/>
      <c r="Y239"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39" s="38"/>
      <c r="AA239"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39" s="8"/>
      <c r="AC239" s="203"/>
      <c r="AD239"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39"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39" s="503"/>
      <c r="AG239" s="44"/>
      <c r="AH239" s="189" t="str">
        <f>IF(COUNTA(CCTSAS[[#This Row],[N°]:[heures annuelles
selon contrat(s)]])=0,"",REVEX!$E$9)</f>
        <v/>
      </c>
      <c r="AI239" s="73" t="str">
        <f>IF(CCTSAS[[#This Row],[Allocation fonctions]]="","",IF(ISNA(VLOOKUP(CCTSAS[[#This Row],[Allocation fonctions]],'Variable et Dropdowns'!H234:H250,1,FALSE))=TRUE,"Veuillez utiliser les allocations parmis la liste déroulante.",""))</f>
        <v/>
      </c>
    </row>
    <row r="240" spans="1:35" x14ac:dyDescent="0.25">
      <c r="A240" s="73" t="str">
        <f>IF(CCTSAS[[#This Row],[Carrière]]="","",IF(ISNA(VLOOKUP(CCTSAS[[#This Row],[Carrière]],DROPDOWN[Dropdown9],1,FALSE))=TRUE,"Carrière: Utiliser la liste déroulante",""))</f>
        <v/>
      </c>
      <c r="B240" s="8"/>
      <c r="C240" s="8"/>
      <c r="D240" s="8"/>
      <c r="E240" s="21"/>
      <c r="F240" s="64"/>
      <c r="G240" s="8"/>
      <c r="H240" s="8"/>
      <c r="I240" s="10"/>
      <c r="J240" s="10"/>
      <c r="K240" s="9"/>
      <c r="L240" s="9"/>
      <c r="M240" s="9"/>
      <c r="N240"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40" s="9"/>
      <c r="P240" s="9"/>
      <c r="Q240" s="8"/>
      <c r="R240" s="38"/>
      <c r="S240" s="38"/>
      <c r="T240" s="38"/>
      <c r="U240" s="38"/>
      <c r="V240" s="38"/>
      <c r="W240" s="38"/>
      <c r="X240" s="38"/>
      <c r="Y240"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40" s="38"/>
      <c r="AA240"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40" s="8"/>
      <c r="AC240" s="203"/>
      <c r="AD240"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40"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40" s="503"/>
      <c r="AG240" s="44"/>
      <c r="AH240" s="189" t="str">
        <f>IF(COUNTA(CCTSAS[[#This Row],[N°]:[heures annuelles
selon contrat(s)]])=0,"",REVEX!$E$9)</f>
        <v/>
      </c>
      <c r="AI240" s="73" t="str">
        <f>IF(CCTSAS[[#This Row],[Allocation fonctions]]="","",IF(ISNA(VLOOKUP(CCTSAS[[#This Row],[Allocation fonctions]],'Variable et Dropdowns'!H235:H251,1,FALSE))=TRUE,"Veuillez utiliser les allocations parmis la liste déroulante.",""))</f>
        <v/>
      </c>
    </row>
    <row r="241" spans="1:35" x14ac:dyDescent="0.25">
      <c r="A241" s="73" t="str">
        <f>IF(CCTSAS[[#This Row],[Carrière]]="","",IF(ISNA(VLOOKUP(CCTSAS[[#This Row],[Carrière]],DROPDOWN[Dropdown9],1,FALSE))=TRUE,"Carrière: Utiliser la liste déroulante",""))</f>
        <v/>
      </c>
      <c r="B241" s="8"/>
      <c r="C241" s="8"/>
      <c r="D241" s="8"/>
      <c r="E241" s="21"/>
      <c r="F241" s="64"/>
      <c r="G241" s="8"/>
      <c r="H241" s="8"/>
      <c r="I241" s="10"/>
      <c r="J241" s="10"/>
      <c r="K241" s="9"/>
      <c r="L241" s="9"/>
      <c r="M241" s="9"/>
      <c r="N241"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41" s="9"/>
      <c r="P241" s="9"/>
      <c r="Q241" s="8"/>
      <c r="R241" s="38"/>
      <c r="S241" s="38"/>
      <c r="T241" s="38"/>
      <c r="U241" s="38"/>
      <c r="V241" s="38"/>
      <c r="W241" s="38"/>
      <c r="X241" s="38"/>
      <c r="Y241"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41" s="38"/>
      <c r="AA241"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41" s="8"/>
      <c r="AC241" s="203"/>
      <c r="AD241"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41"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41" s="503"/>
      <c r="AG241" s="44"/>
      <c r="AH241" s="189" t="str">
        <f>IF(COUNTA(CCTSAS[[#This Row],[N°]:[heures annuelles
selon contrat(s)]])=0,"",REVEX!$E$9)</f>
        <v/>
      </c>
      <c r="AI241" s="73" t="str">
        <f>IF(CCTSAS[[#This Row],[Allocation fonctions]]="","",IF(ISNA(VLOOKUP(CCTSAS[[#This Row],[Allocation fonctions]],'Variable et Dropdowns'!H236:H252,1,FALSE))=TRUE,"Veuillez utiliser les allocations parmis la liste déroulante.",""))</f>
        <v/>
      </c>
    </row>
    <row r="242" spans="1:35" x14ac:dyDescent="0.25">
      <c r="A242" s="73" t="str">
        <f>IF(CCTSAS[[#This Row],[Carrière]]="","",IF(ISNA(VLOOKUP(CCTSAS[[#This Row],[Carrière]],DROPDOWN[Dropdown9],1,FALSE))=TRUE,"Carrière: Utiliser la liste déroulante",""))</f>
        <v/>
      </c>
      <c r="B242" s="8"/>
      <c r="C242" s="8"/>
      <c r="D242" s="8"/>
      <c r="E242" s="21"/>
      <c r="F242" s="64"/>
      <c r="G242" s="8"/>
      <c r="H242" s="8"/>
      <c r="I242" s="10"/>
      <c r="J242" s="10"/>
      <c r="K242" s="9"/>
      <c r="L242" s="9"/>
      <c r="M242" s="9"/>
      <c r="N242"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42" s="9"/>
      <c r="P242" s="9"/>
      <c r="Q242" s="8"/>
      <c r="R242" s="38"/>
      <c r="S242" s="38"/>
      <c r="T242" s="38"/>
      <c r="U242" s="38"/>
      <c r="V242" s="38"/>
      <c r="W242" s="38"/>
      <c r="X242" s="38"/>
      <c r="Y242"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42" s="38"/>
      <c r="AA242"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42" s="8"/>
      <c r="AC242" s="203"/>
      <c r="AD242"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42"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42" s="503"/>
      <c r="AG242" s="44"/>
      <c r="AH242" s="189" t="str">
        <f>IF(COUNTA(CCTSAS[[#This Row],[N°]:[heures annuelles
selon contrat(s)]])=0,"",REVEX!$E$9)</f>
        <v/>
      </c>
      <c r="AI242" s="73" t="str">
        <f>IF(CCTSAS[[#This Row],[Allocation fonctions]]="","",IF(ISNA(VLOOKUP(CCTSAS[[#This Row],[Allocation fonctions]],'Variable et Dropdowns'!H237:H253,1,FALSE))=TRUE,"Veuillez utiliser les allocations parmis la liste déroulante.",""))</f>
        <v/>
      </c>
    </row>
    <row r="243" spans="1:35" x14ac:dyDescent="0.25">
      <c r="A243" s="73" t="str">
        <f>IF(CCTSAS[[#This Row],[Carrière]]="","",IF(ISNA(VLOOKUP(CCTSAS[[#This Row],[Carrière]],DROPDOWN[Dropdown9],1,FALSE))=TRUE,"Carrière: Utiliser la liste déroulante",""))</f>
        <v/>
      </c>
      <c r="B243" s="8"/>
      <c r="C243" s="8"/>
      <c r="D243" s="8"/>
      <c r="E243" s="21"/>
      <c r="F243" s="64"/>
      <c r="G243" s="8"/>
      <c r="H243" s="8"/>
      <c r="I243" s="10"/>
      <c r="J243" s="10"/>
      <c r="K243" s="9"/>
      <c r="L243" s="9"/>
      <c r="M243" s="9"/>
      <c r="N243"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43" s="9"/>
      <c r="P243" s="9"/>
      <c r="Q243" s="8"/>
      <c r="R243" s="38"/>
      <c r="S243" s="38"/>
      <c r="T243" s="38"/>
      <c r="U243" s="38"/>
      <c r="V243" s="38"/>
      <c r="W243" s="38"/>
      <c r="X243" s="38"/>
      <c r="Y243"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43" s="38"/>
      <c r="AA243"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43" s="8"/>
      <c r="AC243" s="203"/>
      <c r="AD243"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43"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43" s="503"/>
      <c r="AG243" s="44"/>
      <c r="AH243" s="189" t="str">
        <f>IF(COUNTA(CCTSAS[[#This Row],[N°]:[heures annuelles
selon contrat(s)]])=0,"",REVEX!$E$9)</f>
        <v/>
      </c>
      <c r="AI243" s="73" t="str">
        <f>IF(CCTSAS[[#This Row],[Allocation fonctions]]="","",IF(ISNA(VLOOKUP(CCTSAS[[#This Row],[Allocation fonctions]],'Variable et Dropdowns'!H238:H254,1,FALSE))=TRUE,"Veuillez utiliser les allocations parmis la liste déroulante.",""))</f>
        <v/>
      </c>
    </row>
    <row r="244" spans="1:35" x14ac:dyDescent="0.25">
      <c r="A244" s="73" t="str">
        <f>IF(CCTSAS[[#This Row],[Carrière]]="","",IF(ISNA(VLOOKUP(CCTSAS[[#This Row],[Carrière]],DROPDOWN[Dropdown9],1,FALSE))=TRUE,"Carrière: Utiliser la liste déroulante",""))</f>
        <v/>
      </c>
      <c r="B244" s="8"/>
      <c r="C244" s="8"/>
      <c r="D244" s="8"/>
      <c r="E244" s="21"/>
      <c r="F244" s="64"/>
      <c r="G244" s="8"/>
      <c r="H244" s="8"/>
      <c r="I244" s="10"/>
      <c r="J244" s="10"/>
      <c r="K244" s="9"/>
      <c r="L244" s="9"/>
      <c r="M244" s="9"/>
      <c r="N244"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44" s="9"/>
      <c r="P244" s="9"/>
      <c r="Q244" s="8"/>
      <c r="R244" s="38"/>
      <c r="S244" s="38"/>
      <c r="T244" s="38"/>
      <c r="U244" s="38"/>
      <c r="V244" s="38"/>
      <c r="W244" s="38"/>
      <c r="X244" s="38"/>
      <c r="Y244"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44" s="38"/>
      <c r="AA244"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44" s="8"/>
      <c r="AC244" s="203"/>
      <c r="AD244"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44"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44" s="503"/>
      <c r="AG244" s="44"/>
      <c r="AH244" s="189" t="str">
        <f>IF(COUNTA(CCTSAS[[#This Row],[N°]:[heures annuelles
selon contrat(s)]])=0,"",REVEX!$E$9)</f>
        <v/>
      </c>
      <c r="AI244" s="73" t="str">
        <f>IF(CCTSAS[[#This Row],[Allocation fonctions]]="","",IF(ISNA(VLOOKUP(CCTSAS[[#This Row],[Allocation fonctions]],'Variable et Dropdowns'!H239:H255,1,FALSE))=TRUE,"Veuillez utiliser les allocations parmis la liste déroulante.",""))</f>
        <v/>
      </c>
    </row>
    <row r="245" spans="1:35" x14ac:dyDescent="0.25">
      <c r="A245" s="73" t="str">
        <f>IF(CCTSAS[[#This Row],[Carrière]]="","",IF(ISNA(VLOOKUP(CCTSAS[[#This Row],[Carrière]],DROPDOWN[Dropdown9],1,FALSE))=TRUE,"Carrière: Utiliser la liste déroulante",""))</f>
        <v/>
      </c>
      <c r="B245" s="8"/>
      <c r="C245" s="8"/>
      <c r="D245" s="8"/>
      <c r="E245" s="21"/>
      <c r="F245" s="64"/>
      <c r="G245" s="8"/>
      <c r="H245" s="8"/>
      <c r="I245" s="10"/>
      <c r="J245" s="10"/>
      <c r="K245" s="9"/>
      <c r="L245" s="9"/>
      <c r="M245" s="9"/>
      <c r="N245"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45" s="9"/>
      <c r="P245" s="9"/>
      <c r="Q245" s="8"/>
      <c r="R245" s="38"/>
      <c r="S245" s="38"/>
      <c r="T245" s="38"/>
      <c r="U245" s="38"/>
      <c r="V245" s="38"/>
      <c r="W245" s="38"/>
      <c r="X245" s="38"/>
      <c r="Y245"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45" s="38"/>
      <c r="AA245"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45" s="8"/>
      <c r="AC245" s="203"/>
      <c r="AD245"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45"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45" s="503"/>
      <c r="AG245" s="44"/>
      <c r="AH245" s="189" t="str">
        <f>IF(COUNTA(CCTSAS[[#This Row],[N°]:[heures annuelles
selon contrat(s)]])=0,"",REVEX!$E$9)</f>
        <v/>
      </c>
      <c r="AI245" s="73" t="str">
        <f>IF(CCTSAS[[#This Row],[Allocation fonctions]]="","",IF(ISNA(VLOOKUP(CCTSAS[[#This Row],[Allocation fonctions]],'Variable et Dropdowns'!H240:H256,1,FALSE))=TRUE,"Veuillez utiliser les allocations parmis la liste déroulante.",""))</f>
        <v/>
      </c>
    </row>
    <row r="246" spans="1:35" x14ac:dyDescent="0.25">
      <c r="A246" s="73" t="str">
        <f>IF(CCTSAS[[#This Row],[Carrière]]="","",IF(ISNA(VLOOKUP(CCTSAS[[#This Row],[Carrière]],DROPDOWN[Dropdown9],1,FALSE))=TRUE,"Carrière: Utiliser la liste déroulante",""))</f>
        <v/>
      </c>
      <c r="B246" s="8"/>
      <c r="C246" s="8"/>
      <c r="D246" s="8"/>
      <c r="E246" s="21"/>
      <c r="F246" s="64"/>
      <c r="G246" s="8"/>
      <c r="H246" s="8"/>
      <c r="I246" s="10"/>
      <c r="J246" s="10"/>
      <c r="K246" s="9"/>
      <c r="L246" s="9"/>
      <c r="M246" s="9"/>
      <c r="N246"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46" s="9"/>
      <c r="P246" s="9"/>
      <c r="Q246" s="8"/>
      <c r="R246" s="38"/>
      <c r="S246" s="38"/>
      <c r="T246" s="38"/>
      <c r="U246" s="38"/>
      <c r="V246" s="38"/>
      <c r="W246" s="38"/>
      <c r="X246" s="38"/>
      <c r="Y246"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46" s="38"/>
      <c r="AA246"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46" s="8"/>
      <c r="AC246" s="203"/>
      <c r="AD246"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46"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46" s="503"/>
      <c r="AG246" s="44"/>
      <c r="AH246" s="189" t="str">
        <f>IF(COUNTA(CCTSAS[[#This Row],[N°]:[heures annuelles
selon contrat(s)]])=0,"",REVEX!$E$9)</f>
        <v/>
      </c>
      <c r="AI246" s="73" t="str">
        <f>IF(CCTSAS[[#This Row],[Allocation fonctions]]="","",IF(ISNA(VLOOKUP(CCTSAS[[#This Row],[Allocation fonctions]],'Variable et Dropdowns'!H241:H257,1,FALSE))=TRUE,"Veuillez utiliser les allocations parmis la liste déroulante.",""))</f>
        <v/>
      </c>
    </row>
    <row r="247" spans="1:35" x14ac:dyDescent="0.25">
      <c r="A247" s="73" t="str">
        <f>IF(CCTSAS[[#This Row],[Carrière]]="","",IF(ISNA(VLOOKUP(CCTSAS[[#This Row],[Carrière]],DROPDOWN[Dropdown9],1,FALSE))=TRUE,"Carrière: Utiliser la liste déroulante",""))</f>
        <v/>
      </c>
      <c r="B247" s="8"/>
      <c r="C247" s="8"/>
      <c r="D247" s="8"/>
      <c r="E247" s="21"/>
      <c r="F247" s="64"/>
      <c r="G247" s="8"/>
      <c r="H247" s="8"/>
      <c r="I247" s="10"/>
      <c r="J247" s="10"/>
      <c r="K247" s="9"/>
      <c r="L247" s="9"/>
      <c r="M247" s="9"/>
      <c r="N247"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47" s="9"/>
      <c r="P247" s="9"/>
      <c r="Q247" s="8"/>
      <c r="R247" s="38"/>
      <c r="S247" s="38"/>
      <c r="T247" s="38"/>
      <c r="U247" s="38"/>
      <c r="V247" s="38"/>
      <c r="W247" s="38"/>
      <c r="X247" s="38"/>
      <c r="Y247"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47" s="38"/>
      <c r="AA247"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47" s="8"/>
      <c r="AC247" s="203"/>
      <c r="AD247"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47"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47" s="503"/>
      <c r="AG247" s="44"/>
      <c r="AH247" s="189" t="str">
        <f>IF(COUNTA(CCTSAS[[#This Row],[N°]:[heures annuelles
selon contrat(s)]])=0,"",REVEX!$E$9)</f>
        <v/>
      </c>
      <c r="AI247" s="73" t="str">
        <f>IF(CCTSAS[[#This Row],[Allocation fonctions]]="","",IF(ISNA(VLOOKUP(CCTSAS[[#This Row],[Allocation fonctions]],'Variable et Dropdowns'!H242:H258,1,FALSE))=TRUE,"Veuillez utiliser les allocations parmis la liste déroulante.",""))</f>
        <v/>
      </c>
    </row>
    <row r="248" spans="1:35" x14ac:dyDescent="0.25">
      <c r="A248" s="73" t="str">
        <f>IF(CCTSAS[[#This Row],[Carrière]]="","",IF(ISNA(VLOOKUP(CCTSAS[[#This Row],[Carrière]],DROPDOWN[Dropdown9],1,FALSE))=TRUE,"Carrière: Utiliser la liste déroulante",""))</f>
        <v/>
      </c>
      <c r="B248" s="8"/>
      <c r="C248" s="8"/>
      <c r="D248" s="8"/>
      <c r="E248" s="21"/>
      <c r="F248" s="64"/>
      <c r="G248" s="8"/>
      <c r="H248" s="8"/>
      <c r="I248" s="10"/>
      <c r="J248" s="10"/>
      <c r="K248" s="9"/>
      <c r="L248" s="9"/>
      <c r="M248" s="9"/>
      <c r="N248"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48" s="9"/>
      <c r="P248" s="9"/>
      <c r="Q248" s="8"/>
      <c r="R248" s="38"/>
      <c r="S248" s="38"/>
      <c r="T248" s="38"/>
      <c r="U248" s="38"/>
      <c r="V248" s="38"/>
      <c r="W248" s="38"/>
      <c r="X248" s="38"/>
      <c r="Y248"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48" s="38"/>
      <c r="AA248"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48" s="8"/>
      <c r="AC248" s="203"/>
      <c r="AD248"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48"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48" s="503"/>
      <c r="AG248" s="44"/>
      <c r="AH248" s="189" t="str">
        <f>IF(COUNTA(CCTSAS[[#This Row],[N°]:[heures annuelles
selon contrat(s)]])=0,"",REVEX!$E$9)</f>
        <v/>
      </c>
      <c r="AI248" s="73" t="str">
        <f>IF(CCTSAS[[#This Row],[Allocation fonctions]]="","",IF(ISNA(VLOOKUP(CCTSAS[[#This Row],[Allocation fonctions]],'Variable et Dropdowns'!H243:H259,1,FALSE))=TRUE,"Veuillez utiliser les allocations parmis la liste déroulante.",""))</f>
        <v/>
      </c>
    </row>
    <row r="249" spans="1:35" x14ac:dyDescent="0.25">
      <c r="A249" s="73" t="str">
        <f>IF(CCTSAS[[#This Row],[Carrière]]="","",IF(ISNA(VLOOKUP(CCTSAS[[#This Row],[Carrière]],DROPDOWN[Dropdown9],1,FALSE))=TRUE,"Carrière: Utiliser la liste déroulante",""))</f>
        <v/>
      </c>
      <c r="B249" s="8"/>
      <c r="C249" s="8"/>
      <c r="D249" s="8"/>
      <c r="E249" s="21"/>
      <c r="F249" s="64"/>
      <c r="G249" s="8"/>
      <c r="H249" s="8"/>
      <c r="I249" s="10"/>
      <c r="J249" s="10"/>
      <c r="K249" s="9"/>
      <c r="L249" s="9"/>
      <c r="M249" s="9"/>
      <c r="N249"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49" s="9"/>
      <c r="P249" s="9"/>
      <c r="Q249" s="8"/>
      <c r="R249" s="38"/>
      <c r="S249" s="38"/>
      <c r="T249" s="38"/>
      <c r="U249" s="38"/>
      <c r="V249" s="38"/>
      <c r="W249" s="38"/>
      <c r="X249" s="38"/>
      <c r="Y249"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49" s="38"/>
      <c r="AA249"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49" s="8"/>
      <c r="AC249" s="203"/>
      <c r="AD249"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49"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49" s="503"/>
      <c r="AG249" s="44"/>
      <c r="AH249" s="189" t="str">
        <f>IF(COUNTA(CCTSAS[[#This Row],[N°]:[heures annuelles
selon contrat(s)]])=0,"",REVEX!$E$9)</f>
        <v/>
      </c>
      <c r="AI249" s="73" t="str">
        <f>IF(CCTSAS[[#This Row],[Allocation fonctions]]="","",IF(ISNA(VLOOKUP(CCTSAS[[#This Row],[Allocation fonctions]],'Variable et Dropdowns'!H244:H260,1,FALSE))=TRUE,"Veuillez utiliser les allocations parmis la liste déroulante.",""))</f>
        <v/>
      </c>
    </row>
    <row r="250" spans="1:35" x14ac:dyDescent="0.25">
      <c r="A250" s="73" t="str">
        <f>IF(CCTSAS[[#This Row],[Carrière]]="","",IF(ISNA(VLOOKUP(CCTSAS[[#This Row],[Carrière]],DROPDOWN[Dropdown9],1,FALSE))=TRUE,"Carrière: Utiliser la liste déroulante",""))</f>
        <v/>
      </c>
      <c r="B250" s="8"/>
      <c r="C250" s="8"/>
      <c r="D250" s="8"/>
      <c r="E250" s="21"/>
      <c r="F250" s="64"/>
      <c r="G250" s="8"/>
      <c r="H250" s="8"/>
      <c r="I250" s="10"/>
      <c r="J250" s="10"/>
      <c r="K250" s="9"/>
      <c r="L250" s="9"/>
      <c r="M250" s="9"/>
      <c r="N250"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50" s="9"/>
      <c r="P250" s="9"/>
      <c r="Q250" s="8"/>
      <c r="R250" s="38"/>
      <c r="S250" s="38"/>
      <c r="T250" s="38"/>
      <c r="U250" s="38"/>
      <c r="V250" s="38"/>
      <c r="W250" s="38"/>
      <c r="X250" s="38"/>
      <c r="Y250"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50" s="38"/>
      <c r="AA250"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50" s="8"/>
      <c r="AC250" s="203"/>
      <c r="AD250"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50"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50" s="503"/>
      <c r="AG250" s="44"/>
      <c r="AH250" s="189" t="str">
        <f>IF(COUNTA(CCTSAS[[#This Row],[N°]:[heures annuelles
selon contrat(s)]])=0,"",REVEX!$E$9)</f>
        <v/>
      </c>
      <c r="AI250" s="73" t="str">
        <f>IF(CCTSAS[[#This Row],[Allocation fonctions]]="","",IF(ISNA(VLOOKUP(CCTSAS[[#This Row],[Allocation fonctions]],'Variable et Dropdowns'!H245:H261,1,FALSE))=TRUE,"Veuillez utiliser les allocations parmis la liste déroulante.",""))</f>
        <v/>
      </c>
    </row>
    <row r="251" spans="1:35" x14ac:dyDescent="0.25">
      <c r="A251" s="73" t="str">
        <f>IF(CCTSAS[[#This Row],[Carrière]]="","",IF(ISNA(VLOOKUP(CCTSAS[[#This Row],[Carrière]],DROPDOWN[Dropdown9],1,FALSE))=TRUE,"Carrière: Utiliser la liste déroulante",""))</f>
        <v/>
      </c>
      <c r="B251" s="8"/>
      <c r="C251" s="8"/>
      <c r="D251" s="8"/>
      <c r="E251" s="21"/>
      <c r="F251" s="64"/>
      <c r="G251" s="8"/>
      <c r="H251" s="8"/>
      <c r="I251" s="10"/>
      <c r="J251" s="10"/>
      <c r="K251" s="9"/>
      <c r="L251" s="9"/>
      <c r="M251" s="9"/>
      <c r="N251"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51" s="9"/>
      <c r="P251" s="9"/>
      <c r="Q251" s="8"/>
      <c r="R251" s="38"/>
      <c r="S251" s="38"/>
      <c r="T251" s="38"/>
      <c r="U251" s="38"/>
      <c r="V251" s="38"/>
      <c r="W251" s="38"/>
      <c r="X251" s="38"/>
      <c r="Y251"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51" s="38"/>
      <c r="AA251"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51" s="8"/>
      <c r="AC251" s="203"/>
      <c r="AD251"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51"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51" s="503"/>
      <c r="AG251" s="44"/>
      <c r="AH251" s="189" t="str">
        <f>IF(COUNTA(CCTSAS[[#This Row],[N°]:[heures annuelles
selon contrat(s)]])=0,"",REVEX!$E$9)</f>
        <v/>
      </c>
      <c r="AI251" s="73" t="str">
        <f>IF(CCTSAS[[#This Row],[Allocation fonctions]]="","",IF(ISNA(VLOOKUP(CCTSAS[[#This Row],[Allocation fonctions]],'Variable et Dropdowns'!H246:H262,1,FALSE))=TRUE,"Veuillez utiliser les allocations parmis la liste déroulante.",""))</f>
        <v/>
      </c>
    </row>
    <row r="252" spans="1:35" x14ac:dyDescent="0.25">
      <c r="A252" s="73" t="str">
        <f>IF(CCTSAS[[#This Row],[Carrière]]="","",IF(ISNA(VLOOKUP(CCTSAS[[#This Row],[Carrière]],DROPDOWN[Dropdown9],1,FALSE))=TRUE,"Carrière: Utiliser la liste déroulante",""))</f>
        <v/>
      </c>
      <c r="B252" s="8"/>
      <c r="C252" s="8"/>
      <c r="D252" s="8"/>
      <c r="E252" s="21"/>
      <c r="F252" s="64"/>
      <c r="G252" s="8"/>
      <c r="H252" s="8"/>
      <c r="I252" s="10"/>
      <c r="J252" s="10"/>
      <c r="K252" s="9"/>
      <c r="L252" s="9"/>
      <c r="M252" s="9"/>
      <c r="N252"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52" s="9"/>
      <c r="P252" s="9"/>
      <c r="Q252" s="8"/>
      <c r="R252" s="38"/>
      <c r="S252" s="38"/>
      <c r="T252" s="38"/>
      <c r="U252" s="38"/>
      <c r="V252" s="38"/>
      <c r="W252" s="38"/>
      <c r="X252" s="38"/>
      <c r="Y252"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52" s="38"/>
      <c r="AA252"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52" s="8"/>
      <c r="AC252" s="203"/>
      <c r="AD252"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52"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52" s="503"/>
      <c r="AG252" s="44"/>
      <c r="AH252" s="189" t="str">
        <f>IF(COUNTA(CCTSAS[[#This Row],[N°]:[heures annuelles
selon contrat(s)]])=0,"",REVEX!$E$9)</f>
        <v/>
      </c>
      <c r="AI252" s="73" t="str">
        <f>IF(CCTSAS[[#This Row],[Allocation fonctions]]="","",IF(ISNA(VLOOKUP(CCTSAS[[#This Row],[Allocation fonctions]],'Variable et Dropdowns'!H247:H263,1,FALSE))=TRUE,"Veuillez utiliser les allocations parmis la liste déroulante.",""))</f>
        <v/>
      </c>
    </row>
    <row r="253" spans="1:35" x14ac:dyDescent="0.25">
      <c r="A253" s="73" t="str">
        <f>IF(CCTSAS[[#This Row],[Carrière]]="","",IF(ISNA(VLOOKUP(CCTSAS[[#This Row],[Carrière]],DROPDOWN[Dropdown9],1,FALSE))=TRUE,"Carrière: Utiliser la liste déroulante",""))</f>
        <v/>
      </c>
      <c r="B253" s="8"/>
      <c r="C253" s="8"/>
      <c r="D253" s="8"/>
      <c r="E253" s="21"/>
      <c r="F253" s="64"/>
      <c r="G253" s="8"/>
      <c r="H253" s="8"/>
      <c r="I253" s="10"/>
      <c r="J253" s="10"/>
      <c r="K253" s="9"/>
      <c r="L253" s="9"/>
      <c r="M253" s="9"/>
      <c r="N253"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53" s="9"/>
      <c r="P253" s="9"/>
      <c r="Q253" s="8"/>
      <c r="R253" s="38"/>
      <c r="S253" s="38"/>
      <c r="T253" s="38"/>
      <c r="U253" s="38"/>
      <c r="V253" s="38"/>
      <c r="W253" s="38"/>
      <c r="X253" s="38"/>
      <c r="Y253"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53" s="38"/>
      <c r="AA253"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53" s="8"/>
      <c r="AC253" s="203"/>
      <c r="AD253"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53"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53" s="503"/>
      <c r="AG253" s="44"/>
      <c r="AH253" s="189" t="str">
        <f>IF(COUNTA(CCTSAS[[#This Row],[N°]:[heures annuelles
selon contrat(s)]])=0,"",REVEX!$E$9)</f>
        <v/>
      </c>
      <c r="AI253" s="73" t="str">
        <f>IF(CCTSAS[[#This Row],[Allocation fonctions]]="","",IF(ISNA(VLOOKUP(CCTSAS[[#This Row],[Allocation fonctions]],'Variable et Dropdowns'!H248:H264,1,FALSE))=TRUE,"Veuillez utiliser les allocations parmis la liste déroulante.",""))</f>
        <v/>
      </c>
    </row>
    <row r="254" spans="1:35" x14ac:dyDescent="0.25">
      <c r="A254" s="73" t="str">
        <f>IF(CCTSAS[[#This Row],[Carrière]]="","",IF(ISNA(VLOOKUP(CCTSAS[[#This Row],[Carrière]],DROPDOWN[Dropdown9],1,FALSE))=TRUE,"Carrière: Utiliser la liste déroulante",""))</f>
        <v/>
      </c>
      <c r="B254" s="8"/>
      <c r="C254" s="8"/>
      <c r="D254" s="8"/>
      <c r="E254" s="21"/>
      <c r="F254" s="64"/>
      <c r="G254" s="8"/>
      <c r="H254" s="8"/>
      <c r="I254" s="10"/>
      <c r="J254" s="10"/>
      <c r="K254" s="9"/>
      <c r="L254" s="9"/>
      <c r="M254" s="9"/>
      <c r="N254"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54" s="9"/>
      <c r="P254" s="9"/>
      <c r="Q254" s="8"/>
      <c r="R254" s="38"/>
      <c r="S254" s="38"/>
      <c r="T254" s="38"/>
      <c r="U254" s="38"/>
      <c r="V254" s="38"/>
      <c r="W254" s="38"/>
      <c r="X254" s="38"/>
      <c r="Y254"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54" s="38"/>
      <c r="AA254"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54" s="8"/>
      <c r="AC254" s="203"/>
      <c r="AD254"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54"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54" s="503"/>
      <c r="AG254" s="44"/>
      <c r="AH254" s="189" t="str">
        <f>IF(COUNTA(CCTSAS[[#This Row],[N°]:[heures annuelles
selon contrat(s)]])=0,"",REVEX!$E$9)</f>
        <v/>
      </c>
      <c r="AI254" s="73" t="str">
        <f>IF(CCTSAS[[#This Row],[Allocation fonctions]]="","",IF(ISNA(VLOOKUP(CCTSAS[[#This Row],[Allocation fonctions]],'Variable et Dropdowns'!H249:H265,1,FALSE))=TRUE,"Veuillez utiliser les allocations parmis la liste déroulante.",""))</f>
        <v/>
      </c>
    </row>
    <row r="255" spans="1:35" x14ac:dyDescent="0.25">
      <c r="A255" s="73" t="str">
        <f>IF(CCTSAS[[#This Row],[Carrière]]="","",IF(ISNA(VLOOKUP(CCTSAS[[#This Row],[Carrière]],DROPDOWN[Dropdown9],1,FALSE))=TRUE,"Carrière: Utiliser la liste déroulante",""))</f>
        <v/>
      </c>
      <c r="B255" s="8"/>
      <c r="C255" s="8"/>
      <c r="D255" s="8"/>
      <c r="E255" s="21"/>
      <c r="F255" s="64"/>
      <c r="G255" s="8"/>
      <c r="H255" s="8"/>
      <c r="I255" s="10"/>
      <c r="J255" s="10"/>
      <c r="K255" s="9"/>
      <c r="L255" s="9"/>
      <c r="M255" s="9"/>
      <c r="N255"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55" s="9"/>
      <c r="P255" s="9"/>
      <c r="Q255" s="8"/>
      <c r="R255" s="38"/>
      <c r="S255" s="38"/>
      <c r="T255" s="38"/>
      <c r="U255" s="38"/>
      <c r="V255" s="38"/>
      <c r="W255" s="38"/>
      <c r="X255" s="38"/>
      <c r="Y255"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55" s="38"/>
      <c r="AA255"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55" s="8"/>
      <c r="AC255" s="203"/>
      <c r="AD255"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55"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55" s="503"/>
      <c r="AG255" s="44"/>
      <c r="AH255" s="189" t="str">
        <f>IF(COUNTA(CCTSAS[[#This Row],[N°]:[heures annuelles
selon contrat(s)]])=0,"",REVEX!$E$9)</f>
        <v/>
      </c>
      <c r="AI255" s="73" t="str">
        <f>IF(CCTSAS[[#This Row],[Allocation fonctions]]="","",IF(ISNA(VLOOKUP(CCTSAS[[#This Row],[Allocation fonctions]],'Variable et Dropdowns'!H250:H266,1,FALSE))=TRUE,"Veuillez utiliser les allocations parmis la liste déroulante.",""))</f>
        <v/>
      </c>
    </row>
    <row r="256" spans="1:35" x14ac:dyDescent="0.25">
      <c r="A256" s="73" t="str">
        <f>IF(CCTSAS[[#This Row],[Carrière]]="","",IF(ISNA(VLOOKUP(CCTSAS[[#This Row],[Carrière]],DROPDOWN[Dropdown9],1,FALSE))=TRUE,"Carrière: Utiliser la liste déroulante",""))</f>
        <v/>
      </c>
      <c r="B256" s="8"/>
      <c r="C256" s="8"/>
      <c r="D256" s="8"/>
      <c r="E256" s="21"/>
      <c r="F256" s="64"/>
      <c r="G256" s="8"/>
      <c r="H256" s="8"/>
      <c r="I256" s="10"/>
      <c r="J256" s="10"/>
      <c r="K256" s="9"/>
      <c r="L256" s="9"/>
      <c r="M256" s="9"/>
      <c r="N256"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56" s="9"/>
      <c r="P256" s="9"/>
      <c r="Q256" s="8"/>
      <c r="R256" s="38"/>
      <c r="S256" s="38"/>
      <c r="T256" s="38"/>
      <c r="U256" s="38"/>
      <c r="V256" s="38"/>
      <c r="W256" s="38"/>
      <c r="X256" s="38"/>
      <c r="Y256"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56" s="38"/>
      <c r="AA256"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56" s="8"/>
      <c r="AC256" s="203"/>
      <c r="AD256"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56"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56" s="503"/>
      <c r="AG256" s="44"/>
      <c r="AH256" s="189" t="str">
        <f>IF(COUNTA(CCTSAS[[#This Row],[N°]:[heures annuelles
selon contrat(s)]])=0,"",REVEX!$E$9)</f>
        <v/>
      </c>
      <c r="AI256" s="73" t="str">
        <f>IF(CCTSAS[[#This Row],[Allocation fonctions]]="","",IF(ISNA(VLOOKUP(CCTSAS[[#This Row],[Allocation fonctions]],'Variable et Dropdowns'!H251:H267,1,FALSE))=TRUE,"Veuillez utiliser les allocations parmis la liste déroulante.",""))</f>
        <v/>
      </c>
    </row>
    <row r="257" spans="1:35" x14ac:dyDescent="0.25">
      <c r="A257" s="73" t="str">
        <f>IF(CCTSAS[[#This Row],[Carrière]]="","",IF(ISNA(VLOOKUP(CCTSAS[[#This Row],[Carrière]],DROPDOWN[Dropdown9],1,FALSE))=TRUE,"Carrière: Utiliser la liste déroulante",""))</f>
        <v/>
      </c>
      <c r="B257" s="8"/>
      <c r="C257" s="8"/>
      <c r="D257" s="8"/>
      <c r="E257" s="21"/>
      <c r="F257" s="64"/>
      <c r="G257" s="8"/>
      <c r="H257" s="8"/>
      <c r="I257" s="10"/>
      <c r="J257" s="10"/>
      <c r="K257" s="9"/>
      <c r="L257" s="9"/>
      <c r="M257" s="9"/>
      <c r="N257"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57" s="9"/>
      <c r="P257" s="9"/>
      <c r="Q257" s="8"/>
      <c r="R257" s="38"/>
      <c r="S257" s="38"/>
      <c r="T257" s="38"/>
      <c r="U257" s="38"/>
      <c r="V257" s="38"/>
      <c r="W257" s="38"/>
      <c r="X257" s="38"/>
      <c r="Y257"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57" s="38"/>
      <c r="AA257"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57" s="8"/>
      <c r="AC257" s="203"/>
      <c r="AD257"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57"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57" s="503"/>
      <c r="AG257" s="44"/>
      <c r="AH257" s="189" t="str">
        <f>IF(COUNTA(CCTSAS[[#This Row],[N°]:[heures annuelles
selon contrat(s)]])=0,"",REVEX!$E$9)</f>
        <v/>
      </c>
      <c r="AI257" s="73" t="str">
        <f>IF(CCTSAS[[#This Row],[Allocation fonctions]]="","",IF(ISNA(VLOOKUP(CCTSAS[[#This Row],[Allocation fonctions]],'Variable et Dropdowns'!H252:H268,1,FALSE))=TRUE,"Veuillez utiliser les allocations parmis la liste déroulante.",""))</f>
        <v/>
      </c>
    </row>
    <row r="258" spans="1:35" x14ac:dyDescent="0.25">
      <c r="A258" s="73" t="str">
        <f>IF(CCTSAS[[#This Row],[Carrière]]="","",IF(ISNA(VLOOKUP(CCTSAS[[#This Row],[Carrière]],DROPDOWN[Dropdown9],1,FALSE))=TRUE,"Carrière: Utiliser la liste déroulante",""))</f>
        <v/>
      </c>
      <c r="B258" s="8"/>
      <c r="C258" s="8"/>
      <c r="D258" s="8"/>
      <c r="E258" s="21"/>
      <c r="F258" s="64"/>
      <c r="G258" s="8"/>
      <c r="H258" s="8"/>
      <c r="I258" s="10"/>
      <c r="J258" s="10"/>
      <c r="K258" s="9"/>
      <c r="L258" s="9"/>
      <c r="M258" s="9"/>
      <c r="N258"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58" s="9"/>
      <c r="P258" s="9"/>
      <c r="Q258" s="8"/>
      <c r="R258" s="38"/>
      <c r="S258" s="38"/>
      <c r="T258" s="38"/>
      <c r="U258" s="38"/>
      <c r="V258" s="38"/>
      <c r="W258" s="38"/>
      <c r="X258" s="38"/>
      <c r="Y258"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58" s="38"/>
      <c r="AA258"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58" s="8"/>
      <c r="AC258" s="203"/>
      <c r="AD258"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58"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58" s="503"/>
      <c r="AG258" s="44"/>
      <c r="AH258" s="189" t="str">
        <f>IF(COUNTA(CCTSAS[[#This Row],[N°]:[heures annuelles
selon contrat(s)]])=0,"",REVEX!$E$9)</f>
        <v/>
      </c>
      <c r="AI258" s="73" t="str">
        <f>IF(CCTSAS[[#This Row],[Allocation fonctions]]="","",IF(ISNA(VLOOKUP(CCTSAS[[#This Row],[Allocation fonctions]],'Variable et Dropdowns'!H253:H269,1,FALSE))=TRUE,"Veuillez utiliser les allocations parmis la liste déroulante.",""))</f>
        <v/>
      </c>
    </row>
    <row r="259" spans="1:35" x14ac:dyDescent="0.25">
      <c r="A259" s="73" t="str">
        <f>IF(CCTSAS[[#This Row],[Carrière]]="","",IF(ISNA(VLOOKUP(CCTSAS[[#This Row],[Carrière]],DROPDOWN[Dropdown9],1,FALSE))=TRUE,"Carrière: Utiliser la liste déroulante",""))</f>
        <v/>
      </c>
      <c r="B259" s="8"/>
      <c r="C259" s="8"/>
      <c r="D259" s="8"/>
      <c r="E259" s="21"/>
      <c r="F259" s="64"/>
      <c r="G259" s="8"/>
      <c r="H259" s="8"/>
      <c r="I259" s="10"/>
      <c r="J259" s="10"/>
      <c r="K259" s="9"/>
      <c r="L259" s="9"/>
      <c r="M259" s="9"/>
      <c r="N259"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59" s="9"/>
      <c r="P259" s="9"/>
      <c r="Q259" s="8"/>
      <c r="R259" s="38"/>
      <c r="S259" s="38"/>
      <c r="T259" s="38"/>
      <c r="U259" s="38"/>
      <c r="V259" s="38"/>
      <c r="W259" s="38"/>
      <c r="X259" s="38"/>
      <c r="Y259"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59" s="38"/>
      <c r="AA259"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59" s="8"/>
      <c r="AC259" s="203"/>
      <c r="AD259"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59"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59" s="503"/>
      <c r="AG259" s="44"/>
      <c r="AH259" s="189" t="str">
        <f>IF(COUNTA(CCTSAS[[#This Row],[N°]:[heures annuelles
selon contrat(s)]])=0,"",REVEX!$E$9)</f>
        <v/>
      </c>
      <c r="AI259" s="73" t="str">
        <f>IF(CCTSAS[[#This Row],[Allocation fonctions]]="","",IF(ISNA(VLOOKUP(CCTSAS[[#This Row],[Allocation fonctions]],'Variable et Dropdowns'!H254:H270,1,FALSE))=TRUE,"Veuillez utiliser les allocations parmis la liste déroulante.",""))</f>
        <v/>
      </c>
    </row>
    <row r="260" spans="1:35" x14ac:dyDescent="0.25">
      <c r="A260" s="73" t="str">
        <f>IF(CCTSAS[[#This Row],[Carrière]]="","",IF(ISNA(VLOOKUP(CCTSAS[[#This Row],[Carrière]],DROPDOWN[Dropdown9],1,FALSE))=TRUE,"Carrière: Utiliser la liste déroulante",""))</f>
        <v/>
      </c>
      <c r="B260" s="8"/>
      <c r="C260" s="8"/>
      <c r="D260" s="8"/>
      <c r="E260" s="21"/>
      <c r="F260" s="64"/>
      <c r="G260" s="8"/>
      <c r="H260" s="8"/>
      <c r="I260" s="10"/>
      <c r="J260" s="10"/>
      <c r="K260" s="9"/>
      <c r="L260" s="9"/>
      <c r="M260" s="9"/>
      <c r="N260"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60" s="9"/>
      <c r="P260" s="9"/>
      <c r="Q260" s="8"/>
      <c r="R260" s="38"/>
      <c r="S260" s="38"/>
      <c r="T260" s="38"/>
      <c r="U260" s="38"/>
      <c r="V260" s="38"/>
      <c r="W260" s="38"/>
      <c r="X260" s="38"/>
      <c r="Y260"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60" s="38"/>
      <c r="AA260"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60" s="8"/>
      <c r="AC260" s="203"/>
      <c r="AD260"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60"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60" s="503"/>
      <c r="AG260" s="44"/>
      <c r="AH260" s="189" t="str">
        <f>IF(COUNTA(CCTSAS[[#This Row],[N°]:[heures annuelles
selon contrat(s)]])=0,"",REVEX!$E$9)</f>
        <v/>
      </c>
      <c r="AI260" s="73" t="str">
        <f>IF(CCTSAS[[#This Row],[Allocation fonctions]]="","",IF(ISNA(VLOOKUP(CCTSAS[[#This Row],[Allocation fonctions]],'Variable et Dropdowns'!H255:H271,1,FALSE))=TRUE,"Veuillez utiliser les allocations parmis la liste déroulante.",""))</f>
        <v/>
      </c>
    </row>
    <row r="261" spans="1:35" x14ac:dyDescent="0.25">
      <c r="A261" s="73" t="str">
        <f>IF(CCTSAS[[#This Row],[Carrière]]="","",IF(ISNA(VLOOKUP(CCTSAS[[#This Row],[Carrière]],DROPDOWN[Dropdown9],1,FALSE))=TRUE,"Carrière: Utiliser la liste déroulante",""))</f>
        <v/>
      </c>
      <c r="B261" s="8"/>
      <c r="C261" s="8"/>
      <c r="D261" s="8"/>
      <c r="E261" s="21"/>
      <c r="F261" s="64"/>
      <c r="G261" s="8"/>
      <c r="H261" s="8"/>
      <c r="I261" s="10"/>
      <c r="J261" s="10"/>
      <c r="K261" s="9"/>
      <c r="L261" s="9"/>
      <c r="M261" s="9"/>
      <c r="N261"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61" s="9"/>
      <c r="P261" s="9"/>
      <c r="Q261" s="8"/>
      <c r="R261" s="38"/>
      <c r="S261" s="38"/>
      <c r="T261" s="38"/>
      <c r="U261" s="38"/>
      <c r="V261" s="38"/>
      <c r="W261" s="38"/>
      <c r="X261" s="38"/>
      <c r="Y261"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61" s="38"/>
      <c r="AA261"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61" s="8"/>
      <c r="AC261" s="203"/>
      <c r="AD261"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61"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61" s="503"/>
      <c r="AG261" s="44"/>
      <c r="AH261" s="189" t="str">
        <f>IF(COUNTA(CCTSAS[[#This Row],[N°]:[heures annuelles
selon contrat(s)]])=0,"",REVEX!$E$9)</f>
        <v/>
      </c>
      <c r="AI261" s="73" t="str">
        <f>IF(CCTSAS[[#This Row],[Allocation fonctions]]="","",IF(ISNA(VLOOKUP(CCTSAS[[#This Row],[Allocation fonctions]],'Variable et Dropdowns'!H256:H272,1,FALSE))=TRUE,"Veuillez utiliser les allocations parmis la liste déroulante.",""))</f>
        <v/>
      </c>
    </row>
    <row r="262" spans="1:35" x14ac:dyDescent="0.25">
      <c r="A262" s="73" t="str">
        <f>IF(CCTSAS[[#This Row],[Carrière]]="","",IF(ISNA(VLOOKUP(CCTSAS[[#This Row],[Carrière]],DROPDOWN[Dropdown9],1,FALSE))=TRUE,"Carrière: Utiliser la liste déroulante",""))</f>
        <v/>
      </c>
      <c r="B262" s="8"/>
      <c r="C262" s="8"/>
      <c r="D262" s="8"/>
      <c r="E262" s="21"/>
      <c r="F262" s="64"/>
      <c r="G262" s="8"/>
      <c r="H262" s="8"/>
      <c r="I262" s="10"/>
      <c r="J262" s="10"/>
      <c r="K262" s="9"/>
      <c r="L262" s="9"/>
      <c r="M262" s="9"/>
      <c r="N262"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62" s="9"/>
      <c r="P262" s="9"/>
      <c r="Q262" s="8"/>
      <c r="R262" s="38"/>
      <c r="S262" s="38"/>
      <c r="T262" s="38"/>
      <c r="U262" s="38"/>
      <c r="V262" s="38"/>
      <c r="W262" s="38"/>
      <c r="X262" s="38"/>
      <c r="Y262"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62" s="38"/>
      <c r="AA262"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62" s="8"/>
      <c r="AC262" s="203"/>
      <c r="AD262"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62"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62" s="503"/>
      <c r="AG262" s="44"/>
      <c r="AH262" s="189" t="str">
        <f>IF(COUNTA(CCTSAS[[#This Row],[N°]:[heures annuelles
selon contrat(s)]])=0,"",REVEX!$E$9)</f>
        <v/>
      </c>
      <c r="AI262" s="73" t="str">
        <f>IF(CCTSAS[[#This Row],[Allocation fonctions]]="","",IF(ISNA(VLOOKUP(CCTSAS[[#This Row],[Allocation fonctions]],'Variable et Dropdowns'!H257:H273,1,FALSE))=TRUE,"Veuillez utiliser les allocations parmis la liste déroulante.",""))</f>
        <v/>
      </c>
    </row>
    <row r="263" spans="1:35" x14ac:dyDescent="0.25">
      <c r="A263" s="73" t="str">
        <f>IF(CCTSAS[[#This Row],[Carrière]]="","",IF(ISNA(VLOOKUP(CCTSAS[[#This Row],[Carrière]],DROPDOWN[Dropdown9],1,FALSE))=TRUE,"Carrière: Utiliser la liste déroulante",""))</f>
        <v/>
      </c>
      <c r="B263" s="8"/>
      <c r="C263" s="8"/>
      <c r="D263" s="8"/>
      <c r="E263" s="21"/>
      <c r="F263" s="64"/>
      <c r="G263" s="8"/>
      <c r="H263" s="8"/>
      <c r="I263" s="10"/>
      <c r="J263" s="10"/>
      <c r="K263" s="9"/>
      <c r="L263" s="9"/>
      <c r="M263" s="9"/>
      <c r="N263"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63" s="9"/>
      <c r="P263" s="9"/>
      <c r="Q263" s="8"/>
      <c r="R263" s="38"/>
      <c r="S263" s="38"/>
      <c r="T263" s="38"/>
      <c r="U263" s="38"/>
      <c r="V263" s="38"/>
      <c r="W263" s="38"/>
      <c r="X263" s="38"/>
      <c r="Y263"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63" s="38"/>
      <c r="AA263"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63" s="8"/>
      <c r="AC263" s="203"/>
      <c r="AD263"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63"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63" s="503"/>
      <c r="AG263" s="44"/>
      <c r="AH263" s="189" t="str">
        <f>IF(COUNTA(CCTSAS[[#This Row],[N°]:[heures annuelles
selon contrat(s)]])=0,"",REVEX!$E$9)</f>
        <v/>
      </c>
      <c r="AI263" s="73" t="str">
        <f>IF(CCTSAS[[#This Row],[Allocation fonctions]]="","",IF(ISNA(VLOOKUP(CCTSAS[[#This Row],[Allocation fonctions]],'Variable et Dropdowns'!H258:H274,1,FALSE))=TRUE,"Veuillez utiliser les allocations parmis la liste déroulante.",""))</f>
        <v/>
      </c>
    </row>
    <row r="264" spans="1:35" x14ac:dyDescent="0.25">
      <c r="A264" s="73" t="str">
        <f>IF(CCTSAS[[#This Row],[Carrière]]="","",IF(ISNA(VLOOKUP(CCTSAS[[#This Row],[Carrière]],DROPDOWN[Dropdown9],1,FALSE))=TRUE,"Carrière: Utiliser la liste déroulante",""))</f>
        <v/>
      </c>
      <c r="B264" s="8"/>
      <c r="C264" s="8"/>
      <c r="D264" s="8"/>
      <c r="E264" s="21"/>
      <c r="F264" s="64"/>
      <c r="G264" s="8"/>
      <c r="H264" s="8"/>
      <c r="I264" s="10"/>
      <c r="J264" s="10"/>
      <c r="K264" s="9"/>
      <c r="L264" s="9"/>
      <c r="M264" s="9"/>
      <c r="N264"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64" s="9"/>
      <c r="P264" s="9"/>
      <c r="Q264" s="8"/>
      <c r="R264" s="38"/>
      <c r="S264" s="38"/>
      <c r="T264" s="38"/>
      <c r="U264" s="38"/>
      <c r="V264" s="38"/>
      <c r="W264" s="38"/>
      <c r="X264" s="38"/>
      <c r="Y264"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64" s="38"/>
      <c r="AA264"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64" s="8"/>
      <c r="AC264" s="203"/>
      <c r="AD264"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64"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64" s="503"/>
      <c r="AG264" s="44"/>
      <c r="AH264" s="189" t="str">
        <f>IF(COUNTA(CCTSAS[[#This Row],[N°]:[heures annuelles
selon contrat(s)]])=0,"",REVEX!$E$9)</f>
        <v/>
      </c>
      <c r="AI264" s="73" t="str">
        <f>IF(CCTSAS[[#This Row],[Allocation fonctions]]="","",IF(ISNA(VLOOKUP(CCTSAS[[#This Row],[Allocation fonctions]],'Variable et Dropdowns'!H259:H275,1,FALSE))=TRUE,"Veuillez utiliser les allocations parmis la liste déroulante.",""))</f>
        <v/>
      </c>
    </row>
    <row r="265" spans="1:35" x14ac:dyDescent="0.25">
      <c r="A265" s="73" t="str">
        <f>IF(CCTSAS[[#This Row],[Carrière]]="","",IF(ISNA(VLOOKUP(CCTSAS[[#This Row],[Carrière]],DROPDOWN[Dropdown9],1,FALSE))=TRUE,"Carrière: Utiliser la liste déroulante",""))</f>
        <v/>
      </c>
      <c r="B265" s="8"/>
      <c r="C265" s="8"/>
      <c r="D265" s="8"/>
      <c r="E265" s="21"/>
      <c r="F265" s="64"/>
      <c r="G265" s="8"/>
      <c r="H265" s="8"/>
      <c r="I265" s="10"/>
      <c r="J265" s="10"/>
      <c r="K265" s="9"/>
      <c r="L265" s="9"/>
      <c r="M265" s="9"/>
      <c r="N265"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65" s="9"/>
      <c r="P265" s="9"/>
      <c r="Q265" s="8"/>
      <c r="R265" s="38"/>
      <c r="S265" s="38"/>
      <c r="T265" s="38"/>
      <c r="U265" s="38"/>
      <c r="V265" s="38"/>
      <c r="W265" s="38"/>
      <c r="X265" s="38"/>
      <c r="Y265"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65" s="38"/>
      <c r="AA265"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65" s="8"/>
      <c r="AC265" s="203"/>
      <c r="AD265"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65"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65" s="503"/>
      <c r="AG265" s="44"/>
      <c r="AH265" s="189" t="str">
        <f>IF(COUNTA(CCTSAS[[#This Row],[N°]:[heures annuelles
selon contrat(s)]])=0,"",REVEX!$E$9)</f>
        <v/>
      </c>
      <c r="AI265" s="73" t="str">
        <f>IF(CCTSAS[[#This Row],[Allocation fonctions]]="","",IF(ISNA(VLOOKUP(CCTSAS[[#This Row],[Allocation fonctions]],'Variable et Dropdowns'!H260:H276,1,FALSE))=TRUE,"Veuillez utiliser les allocations parmis la liste déroulante.",""))</f>
        <v/>
      </c>
    </row>
    <row r="266" spans="1:35" x14ac:dyDescent="0.25">
      <c r="A266" s="73" t="str">
        <f>IF(CCTSAS[[#This Row],[Carrière]]="","",IF(ISNA(VLOOKUP(CCTSAS[[#This Row],[Carrière]],DROPDOWN[Dropdown9],1,FALSE))=TRUE,"Carrière: Utiliser la liste déroulante",""))</f>
        <v/>
      </c>
      <c r="B266" s="8"/>
      <c r="C266" s="8"/>
      <c r="D266" s="8"/>
      <c r="E266" s="21"/>
      <c r="F266" s="64"/>
      <c r="G266" s="8"/>
      <c r="H266" s="8"/>
      <c r="I266" s="10"/>
      <c r="J266" s="10"/>
      <c r="K266" s="9"/>
      <c r="L266" s="9"/>
      <c r="M266" s="9"/>
      <c r="N266"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66" s="9"/>
      <c r="P266" s="9"/>
      <c r="Q266" s="8"/>
      <c r="R266" s="38"/>
      <c r="S266" s="38"/>
      <c r="T266" s="38"/>
      <c r="U266" s="38"/>
      <c r="V266" s="38"/>
      <c r="W266" s="38"/>
      <c r="X266" s="38"/>
      <c r="Y266"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66" s="38"/>
      <c r="AA266"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66" s="8"/>
      <c r="AC266" s="203"/>
      <c r="AD266"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66"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66" s="503"/>
      <c r="AG266" s="44"/>
      <c r="AH266" s="189" t="str">
        <f>IF(COUNTA(CCTSAS[[#This Row],[N°]:[heures annuelles
selon contrat(s)]])=0,"",REVEX!$E$9)</f>
        <v/>
      </c>
      <c r="AI266" s="73" t="str">
        <f>IF(CCTSAS[[#This Row],[Allocation fonctions]]="","",IF(ISNA(VLOOKUP(CCTSAS[[#This Row],[Allocation fonctions]],'Variable et Dropdowns'!H261:H277,1,FALSE))=TRUE,"Veuillez utiliser les allocations parmis la liste déroulante.",""))</f>
        <v/>
      </c>
    </row>
    <row r="267" spans="1:35" x14ac:dyDescent="0.25">
      <c r="A267" s="73" t="str">
        <f>IF(CCTSAS[[#This Row],[Carrière]]="","",IF(ISNA(VLOOKUP(CCTSAS[[#This Row],[Carrière]],DROPDOWN[Dropdown9],1,FALSE))=TRUE,"Carrière: Utiliser la liste déroulante",""))</f>
        <v/>
      </c>
      <c r="B267" s="8"/>
      <c r="C267" s="8"/>
      <c r="D267" s="8"/>
      <c r="E267" s="21"/>
      <c r="F267" s="64"/>
      <c r="G267" s="8"/>
      <c r="H267" s="8"/>
      <c r="I267" s="10"/>
      <c r="J267" s="10"/>
      <c r="K267" s="9"/>
      <c r="L267" s="9"/>
      <c r="M267" s="9"/>
      <c r="N267"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67" s="9"/>
      <c r="P267" s="9"/>
      <c r="Q267" s="8"/>
      <c r="R267" s="38"/>
      <c r="S267" s="38"/>
      <c r="T267" s="38"/>
      <c r="U267" s="38"/>
      <c r="V267" s="38"/>
      <c r="W267" s="38"/>
      <c r="X267" s="38"/>
      <c r="Y267"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67" s="38"/>
      <c r="AA267"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67" s="8"/>
      <c r="AC267" s="203"/>
      <c r="AD267"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67"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67" s="503"/>
      <c r="AG267" s="44"/>
      <c r="AH267" s="189" t="str">
        <f>IF(COUNTA(CCTSAS[[#This Row],[N°]:[heures annuelles
selon contrat(s)]])=0,"",REVEX!$E$9)</f>
        <v/>
      </c>
      <c r="AI267" s="73" t="str">
        <f>IF(CCTSAS[[#This Row],[Allocation fonctions]]="","",IF(ISNA(VLOOKUP(CCTSAS[[#This Row],[Allocation fonctions]],'Variable et Dropdowns'!H262:H278,1,FALSE))=TRUE,"Veuillez utiliser les allocations parmis la liste déroulante.",""))</f>
        <v/>
      </c>
    </row>
    <row r="268" spans="1:35" x14ac:dyDescent="0.25">
      <c r="A268" s="73" t="str">
        <f>IF(CCTSAS[[#This Row],[Carrière]]="","",IF(ISNA(VLOOKUP(CCTSAS[[#This Row],[Carrière]],DROPDOWN[Dropdown9],1,FALSE))=TRUE,"Carrière: Utiliser la liste déroulante",""))</f>
        <v/>
      </c>
      <c r="B268" s="8"/>
      <c r="C268" s="8"/>
      <c r="D268" s="8"/>
      <c r="E268" s="21"/>
      <c r="F268" s="64"/>
      <c r="G268" s="8"/>
      <c r="H268" s="8"/>
      <c r="I268" s="10"/>
      <c r="J268" s="10"/>
      <c r="K268" s="9"/>
      <c r="L268" s="9"/>
      <c r="M268" s="9"/>
      <c r="N268"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68" s="9"/>
      <c r="P268" s="9"/>
      <c r="Q268" s="8"/>
      <c r="R268" s="38"/>
      <c r="S268" s="38"/>
      <c r="T268" s="38"/>
      <c r="U268" s="38"/>
      <c r="V268" s="38"/>
      <c r="W268" s="38"/>
      <c r="X268" s="38"/>
      <c r="Y268"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68" s="38"/>
      <c r="AA268"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68" s="8"/>
      <c r="AC268" s="203"/>
      <c r="AD268"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68"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68" s="503"/>
      <c r="AG268" s="44"/>
      <c r="AH268" s="189" t="str">
        <f>IF(COUNTA(CCTSAS[[#This Row],[N°]:[heures annuelles
selon contrat(s)]])=0,"",REVEX!$E$9)</f>
        <v/>
      </c>
      <c r="AI268" s="73" t="str">
        <f>IF(CCTSAS[[#This Row],[Allocation fonctions]]="","",IF(ISNA(VLOOKUP(CCTSAS[[#This Row],[Allocation fonctions]],'Variable et Dropdowns'!H263:H279,1,FALSE))=TRUE,"Veuillez utiliser les allocations parmis la liste déroulante.",""))</f>
        <v/>
      </c>
    </row>
    <row r="269" spans="1:35" x14ac:dyDescent="0.25">
      <c r="A269" s="73" t="str">
        <f>IF(CCTSAS[[#This Row],[Carrière]]="","",IF(ISNA(VLOOKUP(CCTSAS[[#This Row],[Carrière]],DROPDOWN[Dropdown9],1,FALSE))=TRUE,"Carrière: Utiliser la liste déroulante",""))</f>
        <v/>
      </c>
      <c r="B269" s="8"/>
      <c r="C269" s="8"/>
      <c r="D269" s="8"/>
      <c r="E269" s="21"/>
      <c r="F269" s="64"/>
      <c r="G269" s="8"/>
      <c r="H269" s="8"/>
      <c r="I269" s="10"/>
      <c r="J269" s="10"/>
      <c r="K269" s="9"/>
      <c r="L269" s="9"/>
      <c r="M269" s="9"/>
      <c r="N269"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69" s="9"/>
      <c r="P269" s="9"/>
      <c r="Q269" s="8"/>
      <c r="R269" s="38"/>
      <c r="S269" s="38"/>
      <c r="T269" s="38"/>
      <c r="U269" s="38"/>
      <c r="V269" s="38"/>
      <c r="W269" s="38"/>
      <c r="X269" s="38"/>
      <c r="Y269"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69" s="38"/>
      <c r="AA269"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69" s="8"/>
      <c r="AC269" s="203"/>
      <c r="AD269"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69"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69" s="503"/>
      <c r="AG269" s="44"/>
      <c r="AH269" s="189" t="str">
        <f>IF(COUNTA(CCTSAS[[#This Row],[N°]:[heures annuelles
selon contrat(s)]])=0,"",REVEX!$E$9)</f>
        <v/>
      </c>
      <c r="AI269" s="73" t="str">
        <f>IF(CCTSAS[[#This Row],[Allocation fonctions]]="","",IF(ISNA(VLOOKUP(CCTSAS[[#This Row],[Allocation fonctions]],'Variable et Dropdowns'!H264:H280,1,FALSE))=TRUE,"Veuillez utiliser les allocations parmis la liste déroulante.",""))</f>
        <v/>
      </c>
    </row>
    <row r="270" spans="1:35" x14ac:dyDescent="0.25">
      <c r="A270" s="73" t="str">
        <f>IF(CCTSAS[[#This Row],[Carrière]]="","",IF(ISNA(VLOOKUP(CCTSAS[[#This Row],[Carrière]],DROPDOWN[Dropdown9],1,FALSE))=TRUE,"Carrière: Utiliser la liste déroulante",""))</f>
        <v/>
      </c>
      <c r="B270" s="8"/>
      <c r="C270" s="8"/>
      <c r="D270" s="8"/>
      <c r="E270" s="21"/>
      <c r="F270" s="64"/>
      <c r="G270" s="8"/>
      <c r="H270" s="8"/>
      <c r="I270" s="10"/>
      <c r="J270" s="10"/>
      <c r="K270" s="9"/>
      <c r="L270" s="9"/>
      <c r="M270" s="9"/>
      <c r="N270"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70" s="9"/>
      <c r="P270" s="9"/>
      <c r="Q270" s="8"/>
      <c r="R270" s="38"/>
      <c r="S270" s="38"/>
      <c r="T270" s="38"/>
      <c r="U270" s="38"/>
      <c r="V270" s="38"/>
      <c r="W270" s="38"/>
      <c r="X270" s="38"/>
      <c r="Y270"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70" s="38"/>
      <c r="AA270"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70" s="8"/>
      <c r="AC270" s="203"/>
      <c r="AD270"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70"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70" s="503"/>
      <c r="AG270" s="44"/>
      <c r="AH270" s="189" t="str">
        <f>IF(COUNTA(CCTSAS[[#This Row],[N°]:[heures annuelles
selon contrat(s)]])=0,"",REVEX!$E$9)</f>
        <v/>
      </c>
      <c r="AI270" s="73" t="str">
        <f>IF(CCTSAS[[#This Row],[Allocation fonctions]]="","",IF(ISNA(VLOOKUP(CCTSAS[[#This Row],[Allocation fonctions]],'Variable et Dropdowns'!H265:H281,1,FALSE))=TRUE,"Veuillez utiliser les allocations parmis la liste déroulante.",""))</f>
        <v/>
      </c>
    </row>
    <row r="271" spans="1:35" x14ac:dyDescent="0.25">
      <c r="A271" s="73" t="str">
        <f>IF(CCTSAS[[#This Row],[Carrière]]="","",IF(ISNA(VLOOKUP(CCTSAS[[#This Row],[Carrière]],DROPDOWN[Dropdown9],1,FALSE))=TRUE,"Carrière: Utiliser la liste déroulante",""))</f>
        <v/>
      </c>
      <c r="B271" s="8"/>
      <c r="C271" s="8"/>
      <c r="D271" s="8"/>
      <c r="E271" s="21"/>
      <c r="F271" s="64"/>
      <c r="G271" s="8"/>
      <c r="H271" s="8"/>
      <c r="I271" s="10"/>
      <c r="J271" s="10"/>
      <c r="K271" s="9"/>
      <c r="L271" s="9"/>
      <c r="M271" s="9"/>
      <c r="N271"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71" s="9"/>
      <c r="P271" s="9"/>
      <c r="Q271" s="8"/>
      <c r="R271" s="38"/>
      <c r="S271" s="38"/>
      <c r="T271" s="38"/>
      <c r="U271" s="38"/>
      <c r="V271" s="38"/>
      <c r="W271" s="38"/>
      <c r="X271" s="38"/>
      <c r="Y271"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71" s="38"/>
      <c r="AA271"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71" s="8"/>
      <c r="AC271" s="203"/>
      <c r="AD271"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71"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71" s="503"/>
      <c r="AG271" s="44"/>
      <c r="AH271" s="189" t="str">
        <f>IF(COUNTA(CCTSAS[[#This Row],[N°]:[heures annuelles
selon contrat(s)]])=0,"",REVEX!$E$9)</f>
        <v/>
      </c>
      <c r="AI271" s="73" t="str">
        <f>IF(CCTSAS[[#This Row],[Allocation fonctions]]="","",IF(ISNA(VLOOKUP(CCTSAS[[#This Row],[Allocation fonctions]],'Variable et Dropdowns'!H266:H282,1,FALSE))=TRUE,"Veuillez utiliser les allocations parmis la liste déroulante.",""))</f>
        <v/>
      </c>
    </row>
    <row r="272" spans="1:35" x14ac:dyDescent="0.25">
      <c r="A272" s="73" t="str">
        <f>IF(CCTSAS[[#This Row],[Carrière]]="","",IF(ISNA(VLOOKUP(CCTSAS[[#This Row],[Carrière]],DROPDOWN[Dropdown9],1,FALSE))=TRUE,"Carrière: Utiliser la liste déroulante",""))</f>
        <v/>
      </c>
      <c r="B272" s="8"/>
      <c r="C272" s="8"/>
      <c r="D272" s="8"/>
      <c r="E272" s="21"/>
      <c r="F272" s="64"/>
      <c r="G272" s="8"/>
      <c r="H272" s="8"/>
      <c r="I272" s="10"/>
      <c r="J272" s="10"/>
      <c r="K272" s="9"/>
      <c r="L272" s="9"/>
      <c r="M272" s="9"/>
      <c r="N272"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72" s="9"/>
      <c r="P272" s="9"/>
      <c r="Q272" s="8"/>
      <c r="R272" s="38"/>
      <c r="S272" s="38"/>
      <c r="T272" s="38"/>
      <c r="U272" s="38"/>
      <c r="V272" s="38"/>
      <c r="W272" s="38"/>
      <c r="X272" s="38"/>
      <c r="Y272"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72" s="38"/>
      <c r="AA272"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72" s="8"/>
      <c r="AC272" s="203"/>
      <c r="AD272"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72"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72" s="503"/>
      <c r="AG272" s="44"/>
      <c r="AH272" s="189" t="str">
        <f>IF(COUNTA(CCTSAS[[#This Row],[N°]:[heures annuelles
selon contrat(s)]])=0,"",REVEX!$E$9)</f>
        <v/>
      </c>
      <c r="AI272" s="73" t="str">
        <f>IF(CCTSAS[[#This Row],[Allocation fonctions]]="","",IF(ISNA(VLOOKUP(CCTSAS[[#This Row],[Allocation fonctions]],'Variable et Dropdowns'!H267:H283,1,FALSE))=TRUE,"Veuillez utiliser les allocations parmis la liste déroulante.",""))</f>
        <v/>
      </c>
    </row>
    <row r="273" spans="1:35" x14ac:dyDescent="0.25">
      <c r="A273" s="73" t="str">
        <f>IF(CCTSAS[[#This Row],[Carrière]]="","",IF(ISNA(VLOOKUP(CCTSAS[[#This Row],[Carrière]],DROPDOWN[Dropdown9],1,FALSE))=TRUE,"Carrière: Utiliser la liste déroulante",""))</f>
        <v/>
      </c>
      <c r="B273" s="8"/>
      <c r="C273" s="8"/>
      <c r="D273" s="8"/>
      <c r="E273" s="21"/>
      <c r="F273" s="64"/>
      <c r="G273" s="8"/>
      <c r="H273" s="8"/>
      <c r="I273" s="10"/>
      <c r="J273" s="10"/>
      <c r="K273" s="9"/>
      <c r="L273" s="9"/>
      <c r="M273" s="9"/>
      <c r="N273"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73" s="9"/>
      <c r="P273" s="9"/>
      <c r="Q273" s="8"/>
      <c r="R273" s="38"/>
      <c r="S273" s="38"/>
      <c r="T273" s="38"/>
      <c r="U273" s="38"/>
      <c r="V273" s="38"/>
      <c r="W273" s="38"/>
      <c r="X273" s="38"/>
      <c r="Y273"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73" s="38"/>
      <c r="AA273"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73" s="8"/>
      <c r="AC273" s="203"/>
      <c r="AD273"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73"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73" s="503"/>
      <c r="AG273" s="44"/>
      <c r="AH273" s="189" t="str">
        <f>IF(COUNTA(CCTSAS[[#This Row],[N°]:[heures annuelles
selon contrat(s)]])=0,"",REVEX!$E$9)</f>
        <v/>
      </c>
      <c r="AI273" s="73" t="str">
        <f>IF(CCTSAS[[#This Row],[Allocation fonctions]]="","",IF(ISNA(VLOOKUP(CCTSAS[[#This Row],[Allocation fonctions]],'Variable et Dropdowns'!H268:H284,1,FALSE))=TRUE,"Veuillez utiliser les allocations parmis la liste déroulante.",""))</f>
        <v/>
      </c>
    </row>
    <row r="274" spans="1:35" x14ac:dyDescent="0.25">
      <c r="A274" s="73" t="str">
        <f>IF(CCTSAS[[#This Row],[Carrière]]="","",IF(ISNA(VLOOKUP(CCTSAS[[#This Row],[Carrière]],DROPDOWN[Dropdown9],1,FALSE))=TRUE,"Carrière: Utiliser la liste déroulante",""))</f>
        <v/>
      </c>
      <c r="B274" s="8"/>
      <c r="C274" s="8"/>
      <c r="D274" s="8"/>
      <c r="E274" s="21"/>
      <c r="F274" s="64"/>
      <c r="G274" s="8"/>
      <c r="H274" s="8"/>
      <c r="I274" s="10"/>
      <c r="J274" s="10"/>
      <c r="K274" s="9"/>
      <c r="L274" s="9"/>
      <c r="M274" s="9"/>
      <c r="N274"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74" s="9"/>
      <c r="P274" s="9"/>
      <c r="Q274" s="8"/>
      <c r="R274" s="38"/>
      <c r="S274" s="38"/>
      <c r="T274" s="38"/>
      <c r="U274" s="38"/>
      <c r="V274" s="38"/>
      <c r="W274" s="38"/>
      <c r="X274" s="38"/>
      <c r="Y274"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74" s="38"/>
      <c r="AA274"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74" s="8"/>
      <c r="AC274" s="203"/>
      <c r="AD274"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74"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74" s="503"/>
      <c r="AG274" s="44"/>
      <c r="AH274" s="189" t="str">
        <f>IF(COUNTA(CCTSAS[[#This Row],[N°]:[heures annuelles
selon contrat(s)]])=0,"",REVEX!$E$9)</f>
        <v/>
      </c>
      <c r="AI274" s="73" t="str">
        <f>IF(CCTSAS[[#This Row],[Allocation fonctions]]="","",IF(ISNA(VLOOKUP(CCTSAS[[#This Row],[Allocation fonctions]],'Variable et Dropdowns'!H269:H285,1,FALSE))=TRUE,"Veuillez utiliser les allocations parmis la liste déroulante.",""))</f>
        <v/>
      </c>
    </row>
    <row r="275" spans="1:35" x14ac:dyDescent="0.25">
      <c r="A275" s="73" t="str">
        <f>IF(CCTSAS[[#This Row],[Carrière]]="","",IF(ISNA(VLOOKUP(CCTSAS[[#This Row],[Carrière]],DROPDOWN[Dropdown9],1,FALSE))=TRUE,"Carrière: Utiliser la liste déroulante",""))</f>
        <v/>
      </c>
      <c r="B275" s="8"/>
      <c r="C275" s="8"/>
      <c r="D275" s="8"/>
      <c r="E275" s="21"/>
      <c r="F275" s="64"/>
      <c r="G275" s="8"/>
      <c r="H275" s="8"/>
      <c r="I275" s="10"/>
      <c r="J275" s="10"/>
      <c r="K275" s="9"/>
      <c r="L275" s="9"/>
      <c r="M275" s="9"/>
      <c r="N275"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75" s="9"/>
      <c r="P275" s="9"/>
      <c r="Q275" s="8"/>
      <c r="R275" s="38"/>
      <c r="S275" s="38"/>
      <c r="T275" s="38"/>
      <c r="U275" s="38"/>
      <c r="V275" s="38"/>
      <c r="W275" s="38"/>
      <c r="X275" s="38"/>
      <c r="Y275"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75" s="38"/>
      <c r="AA275"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75" s="8"/>
      <c r="AC275" s="203"/>
      <c r="AD275"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75"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75" s="503"/>
      <c r="AG275" s="44"/>
      <c r="AH275" s="189" t="str">
        <f>IF(COUNTA(CCTSAS[[#This Row],[N°]:[heures annuelles
selon contrat(s)]])=0,"",REVEX!$E$9)</f>
        <v/>
      </c>
      <c r="AI275" s="73" t="str">
        <f>IF(CCTSAS[[#This Row],[Allocation fonctions]]="","",IF(ISNA(VLOOKUP(CCTSAS[[#This Row],[Allocation fonctions]],'Variable et Dropdowns'!H270:H286,1,FALSE))=TRUE,"Veuillez utiliser les allocations parmis la liste déroulante.",""))</f>
        <v/>
      </c>
    </row>
    <row r="276" spans="1:35" x14ac:dyDescent="0.25">
      <c r="A276" s="73" t="str">
        <f>IF(CCTSAS[[#This Row],[Carrière]]="","",IF(ISNA(VLOOKUP(CCTSAS[[#This Row],[Carrière]],DROPDOWN[Dropdown9],1,FALSE))=TRUE,"Carrière: Utiliser la liste déroulante",""))</f>
        <v/>
      </c>
      <c r="B276" s="8"/>
      <c r="C276" s="8"/>
      <c r="D276" s="8"/>
      <c r="E276" s="21"/>
      <c r="F276" s="64"/>
      <c r="G276" s="8"/>
      <c r="H276" s="8"/>
      <c r="I276" s="10"/>
      <c r="J276" s="10"/>
      <c r="K276" s="9"/>
      <c r="L276" s="9"/>
      <c r="M276" s="9"/>
      <c r="N276"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76" s="9"/>
      <c r="P276" s="9"/>
      <c r="Q276" s="8"/>
      <c r="R276" s="38"/>
      <c r="S276" s="38"/>
      <c r="T276" s="38"/>
      <c r="U276" s="38"/>
      <c r="V276" s="38"/>
      <c r="W276" s="38"/>
      <c r="X276" s="38"/>
      <c r="Y276"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76" s="38"/>
      <c r="AA276"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76" s="8"/>
      <c r="AC276" s="203"/>
      <c r="AD276"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76"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76" s="503"/>
      <c r="AG276" s="44"/>
      <c r="AH276" s="189" t="str">
        <f>IF(COUNTA(CCTSAS[[#This Row],[N°]:[heures annuelles
selon contrat(s)]])=0,"",REVEX!$E$9)</f>
        <v/>
      </c>
      <c r="AI276" s="73" t="str">
        <f>IF(CCTSAS[[#This Row],[Allocation fonctions]]="","",IF(ISNA(VLOOKUP(CCTSAS[[#This Row],[Allocation fonctions]],'Variable et Dropdowns'!H271:H287,1,FALSE))=TRUE,"Veuillez utiliser les allocations parmis la liste déroulante.",""))</f>
        <v/>
      </c>
    </row>
    <row r="277" spans="1:35" x14ac:dyDescent="0.25">
      <c r="A277" s="73" t="str">
        <f>IF(CCTSAS[[#This Row],[Carrière]]="","",IF(ISNA(VLOOKUP(CCTSAS[[#This Row],[Carrière]],DROPDOWN[Dropdown9],1,FALSE))=TRUE,"Carrière: Utiliser la liste déroulante",""))</f>
        <v/>
      </c>
      <c r="B277" s="8"/>
      <c r="C277" s="8"/>
      <c r="D277" s="8"/>
      <c r="E277" s="21"/>
      <c r="F277" s="64"/>
      <c r="G277" s="8"/>
      <c r="H277" s="8"/>
      <c r="I277" s="10"/>
      <c r="J277" s="10"/>
      <c r="K277" s="9"/>
      <c r="L277" s="9"/>
      <c r="M277" s="9"/>
      <c r="N277"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77" s="9"/>
      <c r="P277" s="9"/>
      <c r="Q277" s="8"/>
      <c r="R277" s="38"/>
      <c r="S277" s="38"/>
      <c r="T277" s="38"/>
      <c r="U277" s="38"/>
      <c r="V277" s="38"/>
      <c r="W277" s="38"/>
      <c r="X277" s="38"/>
      <c r="Y277"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77" s="38"/>
      <c r="AA277"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77" s="8"/>
      <c r="AC277" s="203"/>
      <c r="AD277"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77"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77" s="503"/>
      <c r="AG277" s="44"/>
      <c r="AH277" s="189" t="str">
        <f>IF(COUNTA(CCTSAS[[#This Row],[N°]:[heures annuelles
selon contrat(s)]])=0,"",REVEX!$E$9)</f>
        <v/>
      </c>
      <c r="AI277" s="73" t="str">
        <f>IF(CCTSAS[[#This Row],[Allocation fonctions]]="","",IF(ISNA(VLOOKUP(CCTSAS[[#This Row],[Allocation fonctions]],'Variable et Dropdowns'!H272:H288,1,FALSE))=TRUE,"Veuillez utiliser les allocations parmis la liste déroulante.",""))</f>
        <v/>
      </c>
    </row>
    <row r="278" spans="1:35" x14ac:dyDescent="0.25">
      <c r="A278" s="73" t="str">
        <f>IF(CCTSAS[[#This Row],[Carrière]]="","",IF(ISNA(VLOOKUP(CCTSAS[[#This Row],[Carrière]],DROPDOWN[Dropdown9],1,FALSE))=TRUE,"Carrière: Utiliser la liste déroulante",""))</f>
        <v/>
      </c>
      <c r="B278" s="8"/>
      <c r="C278" s="8"/>
      <c r="D278" s="8"/>
      <c r="E278" s="21"/>
      <c r="F278" s="64"/>
      <c r="G278" s="8"/>
      <c r="H278" s="8"/>
      <c r="I278" s="10"/>
      <c r="J278" s="10"/>
      <c r="K278" s="9"/>
      <c r="L278" s="9"/>
      <c r="M278" s="9"/>
      <c r="N278"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78" s="9"/>
      <c r="P278" s="9"/>
      <c r="Q278" s="8"/>
      <c r="R278" s="38"/>
      <c r="S278" s="38"/>
      <c r="T278" s="38"/>
      <c r="U278" s="38"/>
      <c r="V278" s="38"/>
      <c r="W278" s="38"/>
      <c r="X278" s="38"/>
      <c r="Y278"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78" s="38"/>
      <c r="AA278"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78" s="8"/>
      <c r="AC278" s="203"/>
      <c r="AD278"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78"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78" s="503"/>
      <c r="AG278" s="44"/>
      <c r="AH278" s="189" t="str">
        <f>IF(COUNTA(CCTSAS[[#This Row],[N°]:[heures annuelles
selon contrat(s)]])=0,"",REVEX!$E$9)</f>
        <v/>
      </c>
      <c r="AI278" s="73" t="str">
        <f>IF(CCTSAS[[#This Row],[Allocation fonctions]]="","",IF(ISNA(VLOOKUP(CCTSAS[[#This Row],[Allocation fonctions]],'Variable et Dropdowns'!H273:H289,1,FALSE))=TRUE,"Veuillez utiliser les allocations parmis la liste déroulante.",""))</f>
        <v/>
      </c>
    </row>
    <row r="279" spans="1:35" x14ac:dyDescent="0.25">
      <c r="A279" s="73" t="str">
        <f>IF(CCTSAS[[#This Row],[Carrière]]="","",IF(ISNA(VLOOKUP(CCTSAS[[#This Row],[Carrière]],DROPDOWN[Dropdown9],1,FALSE))=TRUE,"Carrière: Utiliser la liste déroulante",""))</f>
        <v/>
      </c>
      <c r="B279" s="8"/>
      <c r="C279" s="8"/>
      <c r="D279" s="8"/>
      <c r="E279" s="21"/>
      <c r="F279" s="64"/>
      <c r="G279" s="8"/>
      <c r="H279" s="8"/>
      <c r="I279" s="10"/>
      <c r="J279" s="10"/>
      <c r="K279" s="9"/>
      <c r="L279" s="9"/>
      <c r="M279" s="9"/>
      <c r="N279"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79" s="9"/>
      <c r="P279" s="9"/>
      <c r="Q279" s="8"/>
      <c r="R279" s="38"/>
      <c r="S279" s="38"/>
      <c r="T279" s="38"/>
      <c r="U279" s="38"/>
      <c r="V279" s="38"/>
      <c r="W279" s="38"/>
      <c r="X279" s="38"/>
      <c r="Y279"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79" s="38"/>
      <c r="AA279"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79" s="8"/>
      <c r="AC279" s="203"/>
      <c r="AD279"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79"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79" s="503"/>
      <c r="AG279" s="44"/>
      <c r="AH279" s="189" t="str">
        <f>IF(COUNTA(CCTSAS[[#This Row],[N°]:[heures annuelles
selon contrat(s)]])=0,"",REVEX!$E$9)</f>
        <v/>
      </c>
      <c r="AI279" s="73" t="str">
        <f>IF(CCTSAS[[#This Row],[Allocation fonctions]]="","",IF(ISNA(VLOOKUP(CCTSAS[[#This Row],[Allocation fonctions]],'Variable et Dropdowns'!H274:H290,1,FALSE))=TRUE,"Veuillez utiliser les allocations parmis la liste déroulante.",""))</f>
        <v/>
      </c>
    </row>
    <row r="280" spans="1:35" x14ac:dyDescent="0.25">
      <c r="A280" s="73" t="str">
        <f>IF(CCTSAS[[#This Row],[Carrière]]="","",IF(ISNA(VLOOKUP(CCTSAS[[#This Row],[Carrière]],DROPDOWN[Dropdown9],1,FALSE))=TRUE,"Carrière: Utiliser la liste déroulante",""))</f>
        <v/>
      </c>
      <c r="B280" s="8"/>
      <c r="C280" s="8"/>
      <c r="D280" s="8"/>
      <c r="E280" s="21"/>
      <c r="F280" s="64"/>
      <c r="G280" s="8"/>
      <c r="H280" s="8"/>
      <c r="I280" s="10"/>
      <c r="J280" s="10"/>
      <c r="K280" s="9"/>
      <c r="L280" s="9"/>
      <c r="M280" s="9"/>
      <c r="N280"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80" s="9"/>
      <c r="P280" s="9"/>
      <c r="Q280" s="8"/>
      <c r="R280" s="38"/>
      <c r="S280" s="38"/>
      <c r="T280" s="38"/>
      <c r="U280" s="38"/>
      <c r="V280" s="38"/>
      <c r="W280" s="38"/>
      <c r="X280" s="38"/>
      <c r="Y280"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80" s="38"/>
      <c r="AA280"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80" s="8"/>
      <c r="AC280" s="203"/>
      <c r="AD280"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80"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80" s="503"/>
      <c r="AG280" s="44"/>
      <c r="AH280" s="189" t="str">
        <f>IF(COUNTA(CCTSAS[[#This Row],[N°]:[heures annuelles
selon contrat(s)]])=0,"",REVEX!$E$9)</f>
        <v/>
      </c>
      <c r="AI280" s="73" t="str">
        <f>IF(CCTSAS[[#This Row],[Allocation fonctions]]="","",IF(ISNA(VLOOKUP(CCTSAS[[#This Row],[Allocation fonctions]],'Variable et Dropdowns'!H275:H291,1,FALSE))=TRUE,"Veuillez utiliser les allocations parmis la liste déroulante.",""))</f>
        <v/>
      </c>
    </row>
    <row r="281" spans="1:35" x14ac:dyDescent="0.25">
      <c r="A281" s="73" t="str">
        <f>IF(CCTSAS[[#This Row],[Carrière]]="","",IF(ISNA(VLOOKUP(CCTSAS[[#This Row],[Carrière]],DROPDOWN[Dropdown9],1,FALSE))=TRUE,"Carrière: Utiliser la liste déroulante",""))</f>
        <v/>
      </c>
      <c r="B281" s="8"/>
      <c r="C281" s="8"/>
      <c r="D281" s="8"/>
      <c r="E281" s="21"/>
      <c r="F281" s="64"/>
      <c r="G281" s="8"/>
      <c r="H281" s="8"/>
      <c r="I281" s="10"/>
      <c r="J281" s="10"/>
      <c r="K281" s="9"/>
      <c r="L281" s="9"/>
      <c r="M281" s="9"/>
      <c r="N281"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81" s="9"/>
      <c r="P281" s="9"/>
      <c r="Q281" s="8"/>
      <c r="R281" s="38"/>
      <c r="S281" s="38"/>
      <c r="T281" s="38"/>
      <c r="U281" s="38"/>
      <c r="V281" s="38"/>
      <c r="W281" s="38"/>
      <c r="X281" s="38"/>
      <c r="Y281"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81" s="38"/>
      <c r="AA281"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81" s="8"/>
      <c r="AC281" s="203"/>
      <c r="AD281"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81"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81" s="503"/>
      <c r="AG281" s="44"/>
      <c r="AH281" s="189" t="str">
        <f>IF(COUNTA(CCTSAS[[#This Row],[N°]:[heures annuelles
selon contrat(s)]])=0,"",REVEX!$E$9)</f>
        <v/>
      </c>
      <c r="AI281" s="73" t="str">
        <f>IF(CCTSAS[[#This Row],[Allocation fonctions]]="","",IF(ISNA(VLOOKUP(CCTSAS[[#This Row],[Allocation fonctions]],'Variable et Dropdowns'!H276:H292,1,FALSE))=TRUE,"Veuillez utiliser les allocations parmis la liste déroulante.",""))</f>
        <v/>
      </c>
    </row>
    <row r="282" spans="1:35" x14ac:dyDescent="0.25">
      <c r="A282" s="73" t="str">
        <f>IF(CCTSAS[[#This Row],[Carrière]]="","",IF(ISNA(VLOOKUP(CCTSAS[[#This Row],[Carrière]],DROPDOWN[Dropdown9],1,FALSE))=TRUE,"Carrière: Utiliser la liste déroulante",""))</f>
        <v/>
      </c>
      <c r="B282" s="8"/>
      <c r="C282" s="8"/>
      <c r="D282" s="8"/>
      <c r="E282" s="21"/>
      <c r="F282" s="64"/>
      <c r="G282" s="8"/>
      <c r="H282" s="8"/>
      <c r="I282" s="10"/>
      <c r="J282" s="10"/>
      <c r="K282" s="9"/>
      <c r="L282" s="9"/>
      <c r="M282" s="9"/>
      <c r="N282"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82" s="9"/>
      <c r="P282" s="9"/>
      <c r="Q282" s="8"/>
      <c r="R282" s="38"/>
      <c r="S282" s="38"/>
      <c r="T282" s="38"/>
      <c r="U282" s="38"/>
      <c r="V282" s="38"/>
      <c r="W282" s="38"/>
      <c r="X282" s="38"/>
      <c r="Y282"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82" s="38"/>
      <c r="AA282"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82" s="8"/>
      <c r="AC282" s="203"/>
      <c r="AD282"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82"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82" s="503"/>
      <c r="AG282" s="44"/>
      <c r="AH282" s="189" t="str">
        <f>IF(COUNTA(CCTSAS[[#This Row],[N°]:[heures annuelles
selon contrat(s)]])=0,"",REVEX!$E$9)</f>
        <v/>
      </c>
      <c r="AI282" s="73" t="str">
        <f>IF(CCTSAS[[#This Row],[Allocation fonctions]]="","",IF(ISNA(VLOOKUP(CCTSAS[[#This Row],[Allocation fonctions]],'Variable et Dropdowns'!H277:H293,1,FALSE))=TRUE,"Veuillez utiliser les allocations parmis la liste déroulante.",""))</f>
        <v/>
      </c>
    </row>
    <row r="283" spans="1:35" x14ac:dyDescent="0.25">
      <c r="A283" s="73" t="str">
        <f>IF(CCTSAS[[#This Row],[Carrière]]="","",IF(ISNA(VLOOKUP(CCTSAS[[#This Row],[Carrière]],DROPDOWN[Dropdown9],1,FALSE))=TRUE,"Carrière: Utiliser la liste déroulante",""))</f>
        <v/>
      </c>
      <c r="B283" s="8"/>
      <c r="C283" s="8"/>
      <c r="D283" s="8"/>
      <c r="E283" s="21"/>
      <c r="F283" s="64"/>
      <c r="G283" s="8"/>
      <c r="H283" s="8"/>
      <c r="I283" s="10"/>
      <c r="J283" s="10"/>
      <c r="K283" s="9"/>
      <c r="L283" s="9"/>
      <c r="M283" s="9"/>
      <c r="N283"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83" s="9"/>
      <c r="P283" s="9"/>
      <c r="Q283" s="8"/>
      <c r="R283" s="38"/>
      <c r="S283" s="38"/>
      <c r="T283" s="38"/>
      <c r="U283" s="38"/>
      <c r="V283" s="38"/>
      <c r="W283" s="38"/>
      <c r="X283" s="38"/>
      <c r="Y283"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83" s="38"/>
      <c r="AA283"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83" s="8"/>
      <c r="AC283" s="203"/>
      <c r="AD283"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83"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83" s="503"/>
      <c r="AG283" s="44"/>
      <c r="AH283" s="189" t="str">
        <f>IF(COUNTA(CCTSAS[[#This Row],[N°]:[heures annuelles
selon contrat(s)]])=0,"",REVEX!$E$9)</f>
        <v/>
      </c>
      <c r="AI283" s="73" t="str">
        <f>IF(CCTSAS[[#This Row],[Allocation fonctions]]="","",IF(ISNA(VLOOKUP(CCTSAS[[#This Row],[Allocation fonctions]],'Variable et Dropdowns'!H278:H294,1,FALSE))=TRUE,"Veuillez utiliser les allocations parmis la liste déroulante.",""))</f>
        <v/>
      </c>
    </row>
    <row r="284" spans="1:35" x14ac:dyDescent="0.25">
      <c r="A284" s="73" t="str">
        <f>IF(CCTSAS[[#This Row],[Carrière]]="","",IF(ISNA(VLOOKUP(CCTSAS[[#This Row],[Carrière]],DROPDOWN[Dropdown9],1,FALSE))=TRUE,"Carrière: Utiliser la liste déroulante",""))</f>
        <v/>
      </c>
      <c r="B284" s="8"/>
      <c r="C284" s="8"/>
      <c r="D284" s="8"/>
      <c r="E284" s="21"/>
      <c r="F284" s="64"/>
      <c r="G284" s="8"/>
      <c r="H284" s="8"/>
      <c r="I284" s="10"/>
      <c r="J284" s="10"/>
      <c r="K284" s="9"/>
      <c r="L284" s="9"/>
      <c r="M284" s="9"/>
      <c r="N284"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84" s="9"/>
      <c r="P284" s="9"/>
      <c r="Q284" s="8"/>
      <c r="R284" s="38"/>
      <c r="S284" s="38"/>
      <c r="T284" s="38"/>
      <c r="U284" s="38"/>
      <c r="V284" s="38"/>
      <c r="W284" s="38"/>
      <c r="X284" s="38"/>
      <c r="Y284"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84" s="38"/>
      <c r="AA284"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84" s="8"/>
      <c r="AC284" s="203"/>
      <c r="AD284"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84"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84" s="503"/>
      <c r="AG284" s="44"/>
      <c r="AH284" s="189" t="str">
        <f>IF(COUNTA(CCTSAS[[#This Row],[N°]:[heures annuelles
selon contrat(s)]])=0,"",REVEX!$E$9)</f>
        <v/>
      </c>
      <c r="AI284" s="73" t="str">
        <f>IF(CCTSAS[[#This Row],[Allocation fonctions]]="","",IF(ISNA(VLOOKUP(CCTSAS[[#This Row],[Allocation fonctions]],'Variable et Dropdowns'!H279:H295,1,FALSE))=TRUE,"Veuillez utiliser les allocations parmis la liste déroulante.",""))</f>
        <v/>
      </c>
    </row>
    <row r="285" spans="1:35" x14ac:dyDescent="0.25">
      <c r="A285" s="73" t="str">
        <f>IF(CCTSAS[[#This Row],[Carrière]]="","",IF(ISNA(VLOOKUP(CCTSAS[[#This Row],[Carrière]],DROPDOWN[Dropdown9],1,FALSE))=TRUE,"Carrière: Utiliser la liste déroulante",""))</f>
        <v/>
      </c>
      <c r="B285" s="8"/>
      <c r="C285" s="8"/>
      <c r="D285" s="8"/>
      <c r="E285" s="21"/>
      <c r="F285" s="64"/>
      <c r="G285" s="8"/>
      <c r="H285" s="8"/>
      <c r="I285" s="10"/>
      <c r="J285" s="10"/>
      <c r="K285" s="9"/>
      <c r="L285" s="9"/>
      <c r="M285" s="9"/>
      <c r="N285"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85" s="9"/>
      <c r="P285" s="9"/>
      <c r="Q285" s="8"/>
      <c r="R285" s="38"/>
      <c r="S285" s="38"/>
      <c r="T285" s="38"/>
      <c r="U285" s="38"/>
      <c r="V285" s="38"/>
      <c r="W285" s="38"/>
      <c r="X285" s="38"/>
      <c r="Y285"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85" s="38"/>
      <c r="AA285"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85" s="8"/>
      <c r="AC285" s="203"/>
      <c r="AD285"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85"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85" s="503"/>
      <c r="AG285" s="44"/>
      <c r="AH285" s="189" t="str">
        <f>IF(COUNTA(CCTSAS[[#This Row],[N°]:[heures annuelles
selon contrat(s)]])=0,"",REVEX!$E$9)</f>
        <v/>
      </c>
      <c r="AI285" s="73" t="str">
        <f>IF(CCTSAS[[#This Row],[Allocation fonctions]]="","",IF(ISNA(VLOOKUP(CCTSAS[[#This Row],[Allocation fonctions]],'Variable et Dropdowns'!H280:H296,1,FALSE))=TRUE,"Veuillez utiliser les allocations parmis la liste déroulante.",""))</f>
        <v/>
      </c>
    </row>
    <row r="286" spans="1:35" x14ac:dyDescent="0.25">
      <c r="A286" s="73" t="str">
        <f>IF(CCTSAS[[#This Row],[Carrière]]="","",IF(ISNA(VLOOKUP(CCTSAS[[#This Row],[Carrière]],DROPDOWN[Dropdown9],1,FALSE))=TRUE,"Carrière: Utiliser la liste déroulante",""))</f>
        <v/>
      </c>
      <c r="B286" s="8"/>
      <c r="C286" s="8"/>
      <c r="D286" s="8"/>
      <c r="E286" s="21"/>
      <c r="F286" s="64"/>
      <c r="G286" s="8"/>
      <c r="H286" s="8"/>
      <c r="I286" s="10"/>
      <c r="J286" s="10"/>
      <c r="K286" s="9"/>
      <c r="L286" s="9"/>
      <c r="M286" s="9"/>
      <c r="N286"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86" s="9"/>
      <c r="P286" s="9"/>
      <c r="Q286" s="8"/>
      <c r="R286" s="38"/>
      <c r="S286" s="38"/>
      <c r="T286" s="38"/>
      <c r="U286" s="38"/>
      <c r="V286" s="38"/>
      <c r="W286" s="38"/>
      <c r="X286" s="38"/>
      <c r="Y286"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86" s="38"/>
      <c r="AA286"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86" s="8"/>
      <c r="AC286" s="203"/>
      <c r="AD286"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86"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86" s="503"/>
      <c r="AG286" s="44"/>
      <c r="AH286" s="189" t="str">
        <f>IF(COUNTA(CCTSAS[[#This Row],[N°]:[heures annuelles
selon contrat(s)]])=0,"",REVEX!$E$9)</f>
        <v/>
      </c>
      <c r="AI286" s="73" t="str">
        <f>IF(CCTSAS[[#This Row],[Allocation fonctions]]="","",IF(ISNA(VLOOKUP(CCTSAS[[#This Row],[Allocation fonctions]],'Variable et Dropdowns'!H281:H297,1,FALSE))=TRUE,"Veuillez utiliser les allocations parmis la liste déroulante.",""))</f>
        <v/>
      </c>
    </row>
    <row r="287" spans="1:35" x14ac:dyDescent="0.25">
      <c r="A287" s="73" t="str">
        <f>IF(CCTSAS[[#This Row],[Carrière]]="","",IF(ISNA(VLOOKUP(CCTSAS[[#This Row],[Carrière]],DROPDOWN[Dropdown9],1,FALSE))=TRUE,"Carrière: Utiliser la liste déroulante",""))</f>
        <v/>
      </c>
      <c r="B287" s="8"/>
      <c r="C287" s="8"/>
      <c r="D287" s="8"/>
      <c r="E287" s="21"/>
      <c r="F287" s="64"/>
      <c r="G287" s="8"/>
      <c r="H287" s="8"/>
      <c r="I287" s="10"/>
      <c r="J287" s="10"/>
      <c r="K287" s="9"/>
      <c r="L287" s="9"/>
      <c r="M287" s="9"/>
      <c r="N287"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87" s="9"/>
      <c r="P287" s="9"/>
      <c r="Q287" s="8"/>
      <c r="R287" s="38"/>
      <c r="S287" s="38"/>
      <c r="T287" s="38"/>
      <c r="U287" s="38"/>
      <c r="V287" s="38"/>
      <c r="W287" s="38"/>
      <c r="X287" s="38"/>
      <c r="Y287"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87" s="38"/>
      <c r="AA287"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87" s="8"/>
      <c r="AC287" s="203"/>
      <c r="AD287"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87"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87" s="503"/>
      <c r="AG287" s="44"/>
      <c r="AH287" s="189" t="str">
        <f>IF(COUNTA(CCTSAS[[#This Row],[N°]:[heures annuelles
selon contrat(s)]])=0,"",REVEX!$E$9)</f>
        <v/>
      </c>
      <c r="AI287" s="73" t="str">
        <f>IF(CCTSAS[[#This Row],[Allocation fonctions]]="","",IF(ISNA(VLOOKUP(CCTSAS[[#This Row],[Allocation fonctions]],'Variable et Dropdowns'!H282:H298,1,FALSE))=TRUE,"Veuillez utiliser les allocations parmis la liste déroulante.",""))</f>
        <v/>
      </c>
    </row>
    <row r="288" spans="1:35" x14ac:dyDescent="0.25">
      <c r="A288" s="73" t="str">
        <f>IF(CCTSAS[[#This Row],[Carrière]]="","",IF(ISNA(VLOOKUP(CCTSAS[[#This Row],[Carrière]],DROPDOWN[Dropdown9],1,FALSE))=TRUE,"Carrière: Utiliser la liste déroulante",""))</f>
        <v/>
      </c>
      <c r="B288" s="8"/>
      <c r="C288" s="8"/>
      <c r="D288" s="8"/>
      <c r="E288" s="21"/>
      <c r="F288" s="64"/>
      <c r="G288" s="8"/>
      <c r="H288" s="8"/>
      <c r="I288" s="10"/>
      <c r="J288" s="10"/>
      <c r="K288" s="9"/>
      <c r="L288" s="9"/>
      <c r="M288" s="9"/>
      <c r="N288"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88" s="9"/>
      <c r="P288" s="9"/>
      <c r="Q288" s="8"/>
      <c r="R288" s="38"/>
      <c r="S288" s="38"/>
      <c r="T288" s="38"/>
      <c r="U288" s="38"/>
      <c r="V288" s="38"/>
      <c r="W288" s="38"/>
      <c r="X288" s="38"/>
      <c r="Y288"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88" s="38"/>
      <c r="AA288"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88" s="8"/>
      <c r="AC288" s="203"/>
      <c r="AD288"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88"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88" s="503"/>
      <c r="AG288" s="44"/>
      <c r="AH288" s="189" t="str">
        <f>IF(COUNTA(CCTSAS[[#This Row],[N°]:[heures annuelles
selon contrat(s)]])=0,"",REVEX!$E$9)</f>
        <v/>
      </c>
      <c r="AI288" s="73" t="str">
        <f>IF(CCTSAS[[#This Row],[Allocation fonctions]]="","",IF(ISNA(VLOOKUP(CCTSAS[[#This Row],[Allocation fonctions]],'Variable et Dropdowns'!H283:H299,1,FALSE))=TRUE,"Veuillez utiliser les allocations parmis la liste déroulante.",""))</f>
        <v/>
      </c>
    </row>
    <row r="289" spans="1:35" x14ac:dyDescent="0.25">
      <c r="A289" s="73" t="str">
        <f>IF(CCTSAS[[#This Row],[Carrière]]="","",IF(ISNA(VLOOKUP(CCTSAS[[#This Row],[Carrière]],DROPDOWN[Dropdown9],1,FALSE))=TRUE,"Carrière: Utiliser la liste déroulante",""))</f>
        <v/>
      </c>
      <c r="B289" s="8"/>
      <c r="C289" s="8"/>
      <c r="D289" s="8"/>
      <c r="E289" s="21"/>
      <c r="F289" s="64"/>
      <c r="G289" s="8"/>
      <c r="H289" s="8"/>
      <c r="I289" s="10"/>
      <c r="J289" s="10"/>
      <c r="K289" s="9"/>
      <c r="L289" s="9"/>
      <c r="M289" s="9"/>
      <c r="N289"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89" s="9"/>
      <c r="P289" s="9"/>
      <c r="Q289" s="8"/>
      <c r="R289" s="38"/>
      <c r="S289" s="38"/>
      <c r="T289" s="38"/>
      <c r="U289" s="38"/>
      <c r="V289" s="38"/>
      <c r="W289" s="38"/>
      <c r="X289" s="38"/>
      <c r="Y289"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89" s="38"/>
      <c r="AA289"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89" s="8"/>
      <c r="AC289" s="203"/>
      <c r="AD289"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89"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89" s="503"/>
      <c r="AG289" s="44"/>
      <c r="AH289" s="189" t="str">
        <f>IF(COUNTA(CCTSAS[[#This Row],[N°]:[heures annuelles
selon contrat(s)]])=0,"",REVEX!$E$9)</f>
        <v/>
      </c>
      <c r="AI289" s="73" t="str">
        <f>IF(CCTSAS[[#This Row],[Allocation fonctions]]="","",IF(ISNA(VLOOKUP(CCTSAS[[#This Row],[Allocation fonctions]],'Variable et Dropdowns'!H284:H300,1,FALSE))=TRUE,"Veuillez utiliser les allocations parmis la liste déroulante.",""))</f>
        <v/>
      </c>
    </row>
    <row r="290" spans="1:35" x14ac:dyDescent="0.25">
      <c r="A290" s="73" t="str">
        <f>IF(CCTSAS[[#This Row],[Carrière]]="","",IF(ISNA(VLOOKUP(CCTSAS[[#This Row],[Carrière]],DROPDOWN[Dropdown9],1,FALSE))=TRUE,"Carrière: Utiliser la liste déroulante",""))</f>
        <v/>
      </c>
      <c r="B290" s="8"/>
      <c r="C290" s="8"/>
      <c r="D290" s="8"/>
      <c r="E290" s="21"/>
      <c r="F290" s="64"/>
      <c r="G290" s="8"/>
      <c r="H290" s="8"/>
      <c r="I290" s="10"/>
      <c r="J290" s="10"/>
      <c r="K290" s="9"/>
      <c r="L290" s="9"/>
      <c r="M290" s="9"/>
      <c r="N290"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90" s="9"/>
      <c r="P290" s="9"/>
      <c r="Q290" s="8"/>
      <c r="R290" s="38"/>
      <c r="S290" s="38"/>
      <c r="T290" s="38"/>
      <c r="U290" s="38"/>
      <c r="V290" s="38"/>
      <c r="W290" s="38"/>
      <c r="X290" s="38"/>
      <c r="Y290"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90" s="38"/>
      <c r="AA290"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90" s="8"/>
      <c r="AC290" s="203"/>
      <c r="AD290"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90"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90" s="503"/>
      <c r="AG290" s="44"/>
      <c r="AH290" s="189" t="str">
        <f>IF(COUNTA(CCTSAS[[#This Row],[N°]:[heures annuelles
selon contrat(s)]])=0,"",REVEX!$E$9)</f>
        <v/>
      </c>
      <c r="AI290" s="73" t="str">
        <f>IF(CCTSAS[[#This Row],[Allocation fonctions]]="","",IF(ISNA(VLOOKUP(CCTSAS[[#This Row],[Allocation fonctions]],'Variable et Dropdowns'!H285:H301,1,FALSE))=TRUE,"Veuillez utiliser les allocations parmis la liste déroulante.",""))</f>
        <v/>
      </c>
    </row>
    <row r="291" spans="1:35" x14ac:dyDescent="0.25">
      <c r="A291" s="73" t="str">
        <f>IF(CCTSAS[[#This Row],[Carrière]]="","",IF(ISNA(VLOOKUP(CCTSAS[[#This Row],[Carrière]],DROPDOWN[Dropdown9],1,FALSE))=TRUE,"Carrière: Utiliser la liste déroulante",""))</f>
        <v/>
      </c>
      <c r="B291" s="8"/>
      <c r="C291" s="8"/>
      <c r="D291" s="8"/>
      <c r="E291" s="21"/>
      <c r="F291" s="64"/>
      <c r="G291" s="8"/>
      <c r="H291" s="8"/>
      <c r="I291" s="10"/>
      <c r="J291" s="10"/>
      <c r="K291" s="9"/>
      <c r="L291" s="9"/>
      <c r="M291" s="9"/>
      <c r="N291"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91" s="9"/>
      <c r="P291" s="9"/>
      <c r="Q291" s="8"/>
      <c r="R291" s="38"/>
      <c r="S291" s="38"/>
      <c r="T291" s="38"/>
      <c r="U291" s="38"/>
      <c r="V291" s="38"/>
      <c r="W291" s="38"/>
      <c r="X291" s="38"/>
      <c r="Y291"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91" s="38"/>
      <c r="AA291"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91" s="8"/>
      <c r="AC291" s="203"/>
      <c r="AD291"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91"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91" s="503"/>
      <c r="AG291" s="44"/>
      <c r="AH291" s="189" t="str">
        <f>IF(COUNTA(CCTSAS[[#This Row],[N°]:[heures annuelles
selon contrat(s)]])=0,"",REVEX!$E$9)</f>
        <v/>
      </c>
      <c r="AI291" s="73" t="str">
        <f>IF(CCTSAS[[#This Row],[Allocation fonctions]]="","",IF(ISNA(VLOOKUP(CCTSAS[[#This Row],[Allocation fonctions]],'Variable et Dropdowns'!H286:H302,1,FALSE))=TRUE,"Veuillez utiliser les allocations parmis la liste déroulante.",""))</f>
        <v/>
      </c>
    </row>
    <row r="292" spans="1:35" x14ac:dyDescent="0.25">
      <c r="A292" s="73" t="str">
        <f>IF(CCTSAS[[#This Row],[Carrière]]="","",IF(ISNA(VLOOKUP(CCTSAS[[#This Row],[Carrière]],DROPDOWN[Dropdown9],1,FALSE))=TRUE,"Carrière: Utiliser la liste déroulante",""))</f>
        <v/>
      </c>
      <c r="B292" s="8"/>
      <c r="C292" s="8"/>
      <c r="D292" s="8"/>
      <c r="E292" s="21"/>
      <c r="F292" s="64"/>
      <c r="G292" s="8"/>
      <c r="H292" s="8"/>
      <c r="I292" s="10"/>
      <c r="J292" s="10"/>
      <c r="K292" s="9"/>
      <c r="L292" s="9"/>
      <c r="M292" s="9"/>
      <c r="N292"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92" s="9"/>
      <c r="P292" s="9"/>
      <c r="Q292" s="8"/>
      <c r="R292" s="38"/>
      <c r="S292" s="38"/>
      <c r="T292" s="38"/>
      <c r="U292" s="38"/>
      <c r="V292" s="38"/>
      <c r="W292" s="38"/>
      <c r="X292" s="38"/>
      <c r="Y292"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92" s="38"/>
      <c r="AA292"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92" s="8"/>
      <c r="AC292" s="203"/>
      <c r="AD292"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92"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92" s="503"/>
      <c r="AG292" s="44"/>
      <c r="AH292" s="189" t="str">
        <f>IF(COUNTA(CCTSAS[[#This Row],[N°]:[heures annuelles
selon contrat(s)]])=0,"",REVEX!$E$9)</f>
        <v/>
      </c>
      <c r="AI292" s="73" t="str">
        <f>IF(CCTSAS[[#This Row],[Allocation fonctions]]="","",IF(ISNA(VLOOKUP(CCTSAS[[#This Row],[Allocation fonctions]],'Variable et Dropdowns'!H287:H303,1,FALSE))=TRUE,"Veuillez utiliser les allocations parmis la liste déroulante.",""))</f>
        <v/>
      </c>
    </row>
    <row r="293" spans="1:35" x14ac:dyDescent="0.25">
      <c r="A293" s="73" t="str">
        <f>IF(CCTSAS[[#This Row],[Carrière]]="","",IF(ISNA(VLOOKUP(CCTSAS[[#This Row],[Carrière]],DROPDOWN[Dropdown9],1,FALSE))=TRUE,"Carrière: Utiliser la liste déroulante",""))</f>
        <v/>
      </c>
      <c r="B293" s="8"/>
      <c r="C293" s="8"/>
      <c r="D293" s="8"/>
      <c r="E293" s="21"/>
      <c r="F293" s="64"/>
      <c r="G293" s="8"/>
      <c r="H293" s="8"/>
      <c r="I293" s="10"/>
      <c r="J293" s="10"/>
      <c r="K293" s="9"/>
      <c r="L293" s="9"/>
      <c r="M293" s="9"/>
      <c r="N293"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93" s="9"/>
      <c r="P293" s="9"/>
      <c r="Q293" s="8"/>
      <c r="R293" s="38"/>
      <c r="S293" s="38"/>
      <c r="T293" s="38"/>
      <c r="U293" s="38"/>
      <c r="V293" s="38"/>
      <c r="W293" s="38"/>
      <c r="X293" s="38"/>
      <c r="Y293"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93" s="38"/>
      <c r="AA293"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93" s="8"/>
      <c r="AC293" s="203"/>
      <c r="AD293"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93"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93" s="503"/>
      <c r="AG293" s="44"/>
      <c r="AH293" s="189" t="str">
        <f>IF(COUNTA(CCTSAS[[#This Row],[N°]:[heures annuelles
selon contrat(s)]])=0,"",REVEX!$E$9)</f>
        <v/>
      </c>
      <c r="AI293" s="73" t="str">
        <f>IF(CCTSAS[[#This Row],[Allocation fonctions]]="","",IF(ISNA(VLOOKUP(CCTSAS[[#This Row],[Allocation fonctions]],'Variable et Dropdowns'!H288:H304,1,FALSE))=TRUE,"Veuillez utiliser les allocations parmis la liste déroulante.",""))</f>
        <v/>
      </c>
    </row>
    <row r="294" spans="1:35" x14ac:dyDescent="0.25">
      <c r="A294" s="73" t="str">
        <f>IF(CCTSAS[[#This Row],[Carrière]]="","",IF(ISNA(VLOOKUP(CCTSAS[[#This Row],[Carrière]],DROPDOWN[Dropdown9],1,FALSE))=TRUE,"Carrière: Utiliser la liste déroulante",""))</f>
        <v/>
      </c>
      <c r="B294" s="8"/>
      <c r="C294" s="8"/>
      <c r="D294" s="8"/>
      <c r="E294" s="21"/>
      <c r="F294" s="64"/>
      <c r="G294" s="8"/>
      <c r="H294" s="8"/>
      <c r="I294" s="10"/>
      <c r="J294" s="10"/>
      <c r="K294" s="9"/>
      <c r="L294" s="9"/>
      <c r="M294" s="9"/>
      <c r="N294"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94" s="9"/>
      <c r="P294" s="9"/>
      <c r="Q294" s="8"/>
      <c r="R294" s="38"/>
      <c r="S294" s="38"/>
      <c r="T294" s="38"/>
      <c r="U294" s="38"/>
      <c r="V294" s="38"/>
      <c r="W294" s="38"/>
      <c r="X294" s="38"/>
      <c r="Y294"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94" s="38"/>
      <c r="AA294"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94" s="8"/>
      <c r="AC294" s="203"/>
      <c r="AD294"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94"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94" s="503"/>
      <c r="AG294" s="44"/>
      <c r="AH294" s="189" t="str">
        <f>IF(COUNTA(CCTSAS[[#This Row],[N°]:[heures annuelles
selon contrat(s)]])=0,"",REVEX!$E$9)</f>
        <v/>
      </c>
      <c r="AI294" s="73" t="str">
        <f>IF(CCTSAS[[#This Row],[Allocation fonctions]]="","",IF(ISNA(VLOOKUP(CCTSAS[[#This Row],[Allocation fonctions]],'Variable et Dropdowns'!H289:H305,1,FALSE))=TRUE,"Veuillez utiliser les allocations parmis la liste déroulante.",""))</f>
        <v/>
      </c>
    </row>
    <row r="295" spans="1:35" x14ac:dyDescent="0.25">
      <c r="A295" s="73" t="str">
        <f>IF(CCTSAS[[#This Row],[Carrière]]="","",IF(ISNA(VLOOKUP(CCTSAS[[#This Row],[Carrière]],DROPDOWN[Dropdown9],1,FALSE))=TRUE,"Carrière: Utiliser la liste déroulante",""))</f>
        <v/>
      </c>
      <c r="B295" s="8"/>
      <c r="C295" s="8"/>
      <c r="D295" s="8"/>
      <c r="E295" s="21"/>
      <c r="F295" s="64"/>
      <c r="G295" s="8"/>
      <c r="H295" s="8"/>
      <c r="I295" s="10"/>
      <c r="J295" s="10"/>
      <c r="K295" s="9"/>
      <c r="L295" s="9"/>
      <c r="M295" s="9"/>
      <c r="N295"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95" s="9"/>
      <c r="P295" s="9"/>
      <c r="Q295" s="8"/>
      <c r="R295" s="38"/>
      <c r="S295" s="38"/>
      <c r="T295" s="38"/>
      <c r="U295" s="38"/>
      <c r="V295" s="38"/>
      <c r="W295" s="38"/>
      <c r="X295" s="38"/>
      <c r="Y295"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95" s="38"/>
      <c r="AA295"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95" s="8"/>
      <c r="AC295" s="203"/>
      <c r="AD295"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95"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95" s="503"/>
      <c r="AG295" s="44"/>
      <c r="AH295" s="189" t="str">
        <f>IF(COUNTA(CCTSAS[[#This Row],[N°]:[heures annuelles
selon contrat(s)]])=0,"",REVEX!$E$9)</f>
        <v/>
      </c>
      <c r="AI295" s="73" t="str">
        <f>IF(CCTSAS[[#This Row],[Allocation fonctions]]="","",IF(ISNA(VLOOKUP(CCTSAS[[#This Row],[Allocation fonctions]],'Variable et Dropdowns'!H290:H306,1,FALSE))=TRUE,"Veuillez utiliser les allocations parmis la liste déroulante.",""))</f>
        <v/>
      </c>
    </row>
    <row r="296" spans="1:35" x14ac:dyDescent="0.25">
      <c r="A296" s="73" t="str">
        <f>IF(CCTSAS[[#This Row],[Carrière]]="","",IF(ISNA(VLOOKUP(CCTSAS[[#This Row],[Carrière]],DROPDOWN[Dropdown9],1,FALSE))=TRUE,"Carrière: Utiliser la liste déroulante",""))</f>
        <v/>
      </c>
      <c r="B296" s="8"/>
      <c r="C296" s="8"/>
      <c r="D296" s="8"/>
      <c r="E296" s="21"/>
      <c r="F296" s="64"/>
      <c r="G296" s="8"/>
      <c r="H296" s="8"/>
      <c r="I296" s="10"/>
      <c r="J296" s="10"/>
      <c r="K296" s="9"/>
      <c r="L296" s="9"/>
      <c r="M296" s="9"/>
      <c r="N296"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96" s="9"/>
      <c r="P296" s="9"/>
      <c r="Q296" s="8"/>
      <c r="R296" s="38"/>
      <c r="S296" s="38"/>
      <c r="T296" s="38"/>
      <c r="U296" s="38"/>
      <c r="V296" s="38"/>
      <c r="W296" s="38"/>
      <c r="X296" s="38"/>
      <c r="Y296"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96" s="38"/>
      <c r="AA296"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96" s="8"/>
      <c r="AC296" s="203"/>
      <c r="AD296"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96"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96" s="503"/>
      <c r="AG296" s="44"/>
      <c r="AH296" s="189" t="str">
        <f>IF(COUNTA(CCTSAS[[#This Row],[N°]:[heures annuelles
selon contrat(s)]])=0,"",REVEX!$E$9)</f>
        <v/>
      </c>
      <c r="AI296" s="73" t="str">
        <f>IF(CCTSAS[[#This Row],[Allocation fonctions]]="","",IF(ISNA(VLOOKUP(CCTSAS[[#This Row],[Allocation fonctions]],'Variable et Dropdowns'!H291:H307,1,FALSE))=TRUE,"Veuillez utiliser les allocations parmis la liste déroulante.",""))</f>
        <v/>
      </c>
    </row>
    <row r="297" spans="1:35" x14ac:dyDescent="0.25">
      <c r="A297" s="73" t="str">
        <f>IF(CCTSAS[[#This Row],[Carrière]]="","",IF(ISNA(VLOOKUP(CCTSAS[[#This Row],[Carrière]],DROPDOWN[Dropdown9],1,FALSE))=TRUE,"Carrière: Utiliser la liste déroulante",""))</f>
        <v/>
      </c>
      <c r="B297" s="8"/>
      <c r="C297" s="8"/>
      <c r="D297" s="8"/>
      <c r="E297" s="21"/>
      <c r="F297" s="64"/>
      <c r="G297" s="8"/>
      <c r="H297" s="8"/>
      <c r="I297" s="10"/>
      <c r="J297" s="10"/>
      <c r="K297" s="9"/>
      <c r="L297" s="9"/>
      <c r="M297" s="9"/>
      <c r="N297"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97" s="9"/>
      <c r="P297" s="9"/>
      <c r="Q297" s="8"/>
      <c r="R297" s="38"/>
      <c r="S297" s="38"/>
      <c r="T297" s="38"/>
      <c r="U297" s="38"/>
      <c r="V297" s="38"/>
      <c r="W297" s="38"/>
      <c r="X297" s="38"/>
      <c r="Y297"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97" s="38"/>
      <c r="AA297"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97" s="8"/>
      <c r="AC297" s="203"/>
      <c r="AD297"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97"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97" s="503"/>
      <c r="AG297" s="44"/>
      <c r="AH297" s="189" t="str">
        <f>IF(COUNTA(CCTSAS[[#This Row],[N°]:[heures annuelles
selon contrat(s)]])=0,"",REVEX!$E$9)</f>
        <v/>
      </c>
      <c r="AI297" s="73" t="str">
        <f>IF(CCTSAS[[#This Row],[Allocation fonctions]]="","",IF(ISNA(VLOOKUP(CCTSAS[[#This Row],[Allocation fonctions]],'Variable et Dropdowns'!H292:H308,1,FALSE))=TRUE,"Veuillez utiliser les allocations parmis la liste déroulante.",""))</f>
        <v/>
      </c>
    </row>
    <row r="298" spans="1:35" x14ac:dyDescent="0.25">
      <c r="A298" s="73" t="str">
        <f>IF(CCTSAS[[#This Row],[Carrière]]="","",IF(ISNA(VLOOKUP(CCTSAS[[#This Row],[Carrière]],DROPDOWN[Dropdown9],1,FALSE))=TRUE,"Carrière: Utiliser la liste déroulante",""))</f>
        <v/>
      </c>
      <c r="B298" s="8"/>
      <c r="C298" s="8"/>
      <c r="D298" s="8"/>
      <c r="E298" s="21"/>
      <c r="F298" s="64"/>
      <c r="G298" s="8"/>
      <c r="H298" s="8"/>
      <c r="I298" s="10"/>
      <c r="J298" s="10"/>
      <c r="K298" s="9"/>
      <c r="L298" s="9"/>
      <c r="M298" s="9"/>
      <c r="N298"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98" s="9"/>
      <c r="P298" s="9"/>
      <c r="Q298" s="8"/>
      <c r="R298" s="38"/>
      <c r="S298" s="38"/>
      <c r="T298" s="38"/>
      <c r="U298" s="38"/>
      <c r="V298" s="38"/>
      <c r="W298" s="38"/>
      <c r="X298" s="38"/>
      <c r="Y298"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98" s="38"/>
      <c r="AA298"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98" s="8"/>
      <c r="AC298" s="203"/>
      <c r="AD298"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98"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98" s="503"/>
      <c r="AG298" s="44"/>
      <c r="AH298" s="189" t="str">
        <f>IF(COUNTA(CCTSAS[[#This Row],[N°]:[heures annuelles
selon contrat(s)]])=0,"",REVEX!$E$9)</f>
        <v/>
      </c>
      <c r="AI298" s="73" t="str">
        <f>IF(CCTSAS[[#This Row],[Allocation fonctions]]="","",IF(ISNA(VLOOKUP(CCTSAS[[#This Row],[Allocation fonctions]],'Variable et Dropdowns'!H293:H309,1,FALSE))=TRUE,"Veuillez utiliser les allocations parmis la liste déroulante.",""))</f>
        <v/>
      </c>
    </row>
    <row r="299" spans="1:35" x14ac:dyDescent="0.25">
      <c r="A299" s="73" t="str">
        <f>IF(CCTSAS[[#This Row],[Carrière]]="","",IF(ISNA(VLOOKUP(CCTSAS[[#This Row],[Carrière]],DROPDOWN[Dropdown9],1,FALSE))=TRUE,"Carrière: Utiliser la liste déroulante",""))</f>
        <v/>
      </c>
      <c r="B299" s="8"/>
      <c r="C299" s="8"/>
      <c r="D299" s="8"/>
      <c r="E299" s="21"/>
      <c r="F299" s="64"/>
      <c r="G299" s="8"/>
      <c r="H299" s="8"/>
      <c r="I299" s="10"/>
      <c r="J299" s="10"/>
      <c r="K299" s="9"/>
      <c r="L299" s="9"/>
      <c r="M299" s="9"/>
      <c r="N299"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299" s="9"/>
      <c r="P299" s="9"/>
      <c r="Q299" s="8"/>
      <c r="R299" s="38"/>
      <c r="S299" s="38"/>
      <c r="T299" s="38"/>
      <c r="U299" s="38"/>
      <c r="V299" s="38"/>
      <c r="W299" s="38"/>
      <c r="X299" s="38"/>
      <c r="Y299"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299" s="38"/>
      <c r="AA299"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299" s="8"/>
      <c r="AC299" s="203"/>
      <c r="AD299"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299"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299" s="503"/>
      <c r="AG299" s="44"/>
      <c r="AH299" s="189" t="str">
        <f>IF(COUNTA(CCTSAS[[#This Row],[N°]:[heures annuelles
selon contrat(s)]])=0,"",REVEX!$E$9)</f>
        <v/>
      </c>
      <c r="AI299" s="73" t="str">
        <f>IF(CCTSAS[[#This Row],[Allocation fonctions]]="","",IF(ISNA(VLOOKUP(CCTSAS[[#This Row],[Allocation fonctions]],'Variable et Dropdowns'!H294:H310,1,FALSE))=TRUE,"Veuillez utiliser les allocations parmis la liste déroulante.",""))</f>
        <v/>
      </c>
    </row>
    <row r="300" spans="1:35" x14ac:dyDescent="0.25">
      <c r="A300" s="73" t="str">
        <f>IF(CCTSAS[[#This Row],[Carrière]]="","",IF(ISNA(VLOOKUP(CCTSAS[[#This Row],[Carrière]],DROPDOWN[Dropdown9],1,FALSE))=TRUE,"Carrière: Utiliser la liste déroulante",""))</f>
        <v/>
      </c>
      <c r="B300" s="8"/>
      <c r="C300" s="8"/>
      <c r="D300" s="8"/>
      <c r="E300" s="21"/>
      <c r="F300" s="64"/>
      <c r="G300" s="8"/>
      <c r="H300" s="8"/>
      <c r="I300" s="10"/>
      <c r="J300" s="10"/>
      <c r="K300" s="9"/>
      <c r="L300" s="9"/>
      <c r="M300" s="9"/>
      <c r="N300"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00" s="9"/>
      <c r="P300" s="9"/>
      <c r="Q300" s="8"/>
      <c r="R300" s="38"/>
      <c r="S300" s="38"/>
      <c r="T300" s="38"/>
      <c r="U300" s="38"/>
      <c r="V300" s="38"/>
      <c r="W300" s="38"/>
      <c r="X300" s="38"/>
      <c r="Y300"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00" s="38"/>
      <c r="AA300"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00" s="8"/>
      <c r="AC300" s="203"/>
      <c r="AD300"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00"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00" s="503"/>
      <c r="AG300" s="44"/>
      <c r="AH300" s="189" t="str">
        <f>IF(COUNTA(CCTSAS[[#This Row],[N°]:[heures annuelles
selon contrat(s)]])=0,"",REVEX!$E$9)</f>
        <v/>
      </c>
      <c r="AI300" s="73" t="str">
        <f>IF(CCTSAS[[#This Row],[Allocation fonctions]]="","",IF(ISNA(VLOOKUP(CCTSAS[[#This Row],[Allocation fonctions]],'Variable et Dropdowns'!H295:H311,1,FALSE))=TRUE,"Veuillez utiliser les allocations parmis la liste déroulante.",""))</f>
        <v/>
      </c>
    </row>
    <row r="301" spans="1:35" x14ac:dyDescent="0.25">
      <c r="A301" s="73" t="str">
        <f>IF(CCTSAS[[#This Row],[Carrière]]="","",IF(ISNA(VLOOKUP(CCTSAS[[#This Row],[Carrière]],DROPDOWN[Dropdown9],1,FALSE))=TRUE,"Carrière: Utiliser la liste déroulante",""))</f>
        <v/>
      </c>
      <c r="B301" s="8"/>
      <c r="C301" s="8"/>
      <c r="D301" s="8"/>
      <c r="E301" s="21"/>
      <c r="F301" s="64"/>
      <c r="G301" s="8"/>
      <c r="H301" s="8"/>
      <c r="I301" s="10"/>
      <c r="J301" s="10"/>
      <c r="K301" s="9"/>
      <c r="L301" s="9"/>
      <c r="M301" s="9"/>
      <c r="N301"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01" s="9"/>
      <c r="P301" s="9"/>
      <c r="Q301" s="8"/>
      <c r="R301" s="38"/>
      <c r="S301" s="38"/>
      <c r="T301" s="38"/>
      <c r="U301" s="38"/>
      <c r="V301" s="38"/>
      <c r="W301" s="38"/>
      <c r="X301" s="38"/>
      <c r="Y301"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01" s="38"/>
      <c r="AA301"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01" s="8"/>
      <c r="AC301" s="203"/>
      <c r="AD301"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01"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01" s="503"/>
      <c r="AG301" s="44"/>
      <c r="AH301" s="189" t="str">
        <f>IF(COUNTA(CCTSAS[[#This Row],[N°]:[heures annuelles
selon contrat(s)]])=0,"",REVEX!$E$9)</f>
        <v/>
      </c>
      <c r="AI301" s="73" t="str">
        <f>IF(CCTSAS[[#This Row],[Allocation fonctions]]="","",IF(ISNA(VLOOKUP(CCTSAS[[#This Row],[Allocation fonctions]],'Variable et Dropdowns'!H296:H312,1,FALSE))=TRUE,"Veuillez utiliser les allocations parmis la liste déroulante.",""))</f>
        <v/>
      </c>
    </row>
    <row r="302" spans="1:35" x14ac:dyDescent="0.25">
      <c r="A302" s="73" t="str">
        <f>IF(CCTSAS[[#This Row],[Carrière]]="","",IF(ISNA(VLOOKUP(CCTSAS[[#This Row],[Carrière]],DROPDOWN[Dropdown9],1,FALSE))=TRUE,"Carrière: Utiliser la liste déroulante",""))</f>
        <v/>
      </c>
      <c r="B302" s="8"/>
      <c r="C302" s="8"/>
      <c r="D302" s="8"/>
      <c r="E302" s="21"/>
      <c r="F302" s="64"/>
      <c r="G302" s="8"/>
      <c r="H302" s="8"/>
      <c r="I302" s="10"/>
      <c r="J302" s="10"/>
      <c r="K302" s="9"/>
      <c r="L302" s="9"/>
      <c r="M302" s="9"/>
      <c r="N302"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02" s="9"/>
      <c r="P302" s="9"/>
      <c r="Q302" s="8"/>
      <c r="R302" s="38"/>
      <c r="S302" s="38"/>
      <c r="T302" s="38"/>
      <c r="U302" s="38"/>
      <c r="V302" s="38"/>
      <c r="W302" s="38"/>
      <c r="X302" s="38"/>
      <c r="Y302"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02" s="38"/>
      <c r="AA302"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02" s="8"/>
      <c r="AC302" s="203"/>
      <c r="AD302"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02"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02" s="503"/>
      <c r="AG302" s="44"/>
      <c r="AH302" s="189" t="str">
        <f>IF(COUNTA(CCTSAS[[#This Row],[N°]:[heures annuelles
selon contrat(s)]])=0,"",REVEX!$E$9)</f>
        <v/>
      </c>
      <c r="AI302" s="73" t="str">
        <f>IF(CCTSAS[[#This Row],[Allocation fonctions]]="","",IF(ISNA(VLOOKUP(CCTSAS[[#This Row],[Allocation fonctions]],'Variable et Dropdowns'!H297:H313,1,FALSE))=TRUE,"Veuillez utiliser les allocations parmis la liste déroulante.",""))</f>
        <v/>
      </c>
    </row>
    <row r="303" spans="1:35" x14ac:dyDescent="0.25">
      <c r="A303" s="73" t="str">
        <f>IF(CCTSAS[[#This Row],[Carrière]]="","",IF(ISNA(VLOOKUP(CCTSAS[[#This Row],[Carrière]],DROPDOWN[Dropdown9],1,FALSE))=TRUE,"Carrière: Utiliser la liste déroulante",""))</f>
        <v/>
      </c>
      <c r="B303" s="8"/>
      <c r="C303" s="8"/>
      <c r="D303" s="8"/>
      <c r="E303" s="21"/>
      <c r="F303" s="64"/>
      <c r="G303" s="8"/>
      <c r="H303" s="8"/>
      <c r="I303" s="10"/>
      <c r="J303" s="10"/>
      <c r="K303" s="9"/>
      <c r="L303" s="9"/>
      <c r="M303" s="9"/>
      <c r="N303"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03" s="9"/>
      <c r="P303" s="9"/>
      <c r="Q303" s="8"/>
      <c r="R303" s="38"/>
      <c r="S303" s="38"/>
      <c r="T303" s="38"/>
      <c r="U303" s="38"/>
      <c r="V303" s="38"/>
      <c r="W303" s="38"/>
      <c r="X303" s="38"/>
      <c r="Y303"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03" s="38"/>
      <c r="AA303"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03" s="8"/>
      <c r="AC303" s="203"/>
      <c r="AD303"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03"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03" s="503"/>
      <c r="AG303" s="44"/>
      <c r="AH303" s="189" t="str">
        <f>IF(COUNTA(CCTSAS[[#This Row],[N°]:[heures annuelles
selon contrat(s)]])=0,"",REVEX!$E$9)</f>
        <v/>
      </c>
      <c r="AI303" s="73" t="str">
        <f>IF(CCTSAS[[#This Row],[Allocation fonctions]]="","",IF(ISNA(VLOOKUP(CCTSAS[[#This Row],[Allocation fonctions]],'Variable et Dropdowns'!H298:H314,1,FALSE))=TRUE,"Veuillez utiliser les allocations parmis la liste déroulante.",""))</f>
        <v/>
      </c>
    </row>
    <row r="304" spans="1:35" x14ac:dyDescent="0.25">
      <c r="A304" s="73" t="str">
        <f>IF(CCTSAS[[#This Row],[Carrière]]="","",IF(ISNA(VLOOKUP(CCTSAS[[#This Row],[Carrière]],DROPDOWN[Dropdown9],1,FALSE))=TRUE,"Carrière: Utiliser la liste déroulante",""))</f>
        <v/>
      </c>
      <c r="B304" s="8"/>
      <c r="C304" s="8"/>
      <c r="D304" s="8"/>
      <c r="E304" s="21"/>
      <c r="F304" s="64"/>
      <c r="G304" s="8"/>
      <c r="H304" s="8"/>
      <c r="I304" s="10"/>
      <c r="J304" s="10"/>
      <c r="K304" s="9"/>
      <c r="L304" s="9"/>
      <c r="M304" s="9"/>
      <c r="N304"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04" s="9"/>
      <c r="P304" s="9"/>
      <c r="Q304" s="8"/>
      <c r="R304" s="38"/>
      <c r="S304" s="38"/>
      <c r="T304" s="38"/>
      <c r="U304" s="38"/>
      <c r="V304" s="38"/>
      <c r="W304" s="38"/>
      <c r="X304" s="38"/>
      <c r="Y304"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04" s="38"/>
      <c r="AA304"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04" s="8"/>
      <c r="AC304" s="203"/>
      <c r="AD304"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04"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04" s="503"/>
      <c r="AG304" s="44"/>
      <c r="AH304" s="189" t="str">
        <f>IF(COUNTA(CCTSAS[[#This Row],[N°]:[heures annuelles
selon contrat(s)]])=0,"",REVEX!$E$9)</f>
        <v/>
      </c>
      <c r="AI304" s="73" t="str">
        <f>IF(CCTSAS[[#This Row],[Allocation fonctions]]="","",IF(ISNA(VLOOKUP(CCTSAS[[#This Row],[Allocation fonctions]],'Variable et Dropdowns'!H299:H315,1,FALSE))=TRUE,"Veuillez utiliser les allocations parmis la liste déroulante.",""))</f>
        <v/>
      </c>
    </row>
    <row r="305" spans="1:35" x14ac:dyDescent="0.25">
      <c r="A305" s="73" t="str">
        <f>IF(CCTSAS[[#This Row],[Carrière]]="","",IF(ISNA(VLOOKUP(CCTSAS[[#This Row],[Carrière]],DROPDOWN[Dropdown9],1,FALSE))=TRUE,"Carrière: Utiliser la liste déroulante",""))</f>
        <v/>
      </c>
      <c r="B305" s="8"/>
      <c r="C305" s="8"/>
      <c r="D305" s="8"/>
      <c r="E305" s="21"/>
      <c r="F305" s="64"/>
      <c r="G305" s="8"/>
      <c r="H305" s="8"/>
      <c r="I305" s="10"/>
      <c r="J305" s="10"/>
      <c r="K305" s="9"/>
      <c r="L305" s="9"/>
      <c r="M305" s="9"/>
      <c r="N305"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05" s="9"/>
      <c r="P305" s="9"/>
      <c r="Q305" s="8"/>
      <c r="R305" s="38"/>
      <c r="S305" s="38"/>
      <c r="T305" s="38"/>
      <c r="U305" s="38"/>
      <c r="V305" s="38"/>
      <c r="W305" s="38"/>
      <c r="X305" s="38"/>
      <c r="Y305"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05" s="38"/>
      <c r="AA305"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05" s="8"/>
      <c r="AC305" s="203"/>
      <c r="AD305"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05"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05" s="503"/>
      <c r="AG305" s="44"/>
      <c r="AH305" s="189" t="str">
        <f>IF(COUNTA(CCTSAS[[#This Row],[N°]:[heures annuelles
selon contrat(s)]])=0,"",REVEX!$E$9)</f>
        <v/>
      </c>
      <c r="AI305" s="73" t="str">
        <f>IF(CCTSAS[[#This Row],[Allocation fonctions]]="","",IF(ISNA(VLOOKUP(CCTSAS[[#This Row],[Allocation fonctions]],'Variable et Dropdowns'!H300:H316,1,FALSE))=TRUE,"Veuillez utiliser les allocations parmis la liste déroulante.",""))</f>
        <v/>
      </c>
    </row>
    <row r="306" spans="1:35" x14ac:dyDescent="0.25">
      <c r="A306" s="73" t="str">
        <f>IF(CCTSAS[[#This Row],[Carrière]]="","",IF(ISNA(VLOOKUP(CCTSAS[[#This Row],[Carrière]],DROPDOWN[Dropdown9],1,FALSE))=TRUE,"Carrière: Utiliser la liste déroulante",""))</f>
        <v/>
      </c>
      <c r="B306" s="8"/>
      <c r="C306" s="8"/>
      <c r="D306" s="8"/>
      <c r="E306" s="21"/>
      <c r="F306" s="64"/>
      <c r="G306" s="8"/>
      <c r="H306" s="8"/>
      <c r="I306" s="10"/>
      <c r="J306" s="10"/>
      <c r="K306" s="9"/>
      <c r="L306" s="9"/>
      <c r="M306" s="9"/>
      <c r="N306"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06" s="9"/>
      <c r="P306" s="9"/>
      <c r="Q306" s="8"/>
      <c r="R306" s="38"/>
      <c r="S306" s="38"/>
      <c r="T306" s="38"/>
      <c r="U306" s="38"/>
      <c r="V306" s="38"/>
      <c r="W306" s="38"/>
      <c r="X306" s="38"/>
      <c r="Y306"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06" s="38"/>
      <c r="AA306"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06" s="8"/>
      <c r="AC306" s="203"/>
      <c r="AD306"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06"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06" s="503"/>
      <c r="AG306" s="44"/>
      <c r="AH306" s="189" t="str">
        <f>IF(COUNTA(CCTSAS[[#This Row],[N°]:[heures annuelles
selon contrat(s)]])=0,"",REVEX!$E$9)</f>
        <v/>
      </c>
      <c r="AI306" s="73" t="str">
        <f>IF(CCTSAS[[#This Row],[Allocation fonctions]]="","",IF(ISNA(VLOOKUP(CCTSAS[[#This Row],[Allocation fonctions]],'Variable et Dropdowns'!H301:H317,1,FALSE))=TRUE,"Veuillez utiliser les allocations parmis la liste déroulante.",""))</f>
        <v/>
      </c>
    </row>
    <row r="307" spans="1:35" x14ac:dyDescent="0.25">
      <c r="A307" s="73" t="str">
        <f>IF(CCTSAS[[#This Row],[Carrière]]="","",IF(ISNA(VLOOKUP(CCTSAS[[#This Row],[Carrière]],DROPDOWN[Dropdown9],1,FALSE))=TRUE,"Carrière: Utiliser la liste déroulante",""))</f>
        <v/>
      </c>
      <c r="B307" s="8"/>
      <c r="C307" s="8"/>
      <c r="D307" s="8"/>
      <c r="E307" s="21"/>
      <c r="F307" s="64"/>
      <c r="G307" s="8"/>
      <c r="H307" s="8"/>
      <c r="I307" s="10"/>
      <c r="J307" s="10"/>
      <c r="K307" s="9"/>
      <c r="L307" s="9"/>
      <c r="M307" s="9"/>
      <c r="N307"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07" s="9"/>
      <c r="P307" s="9"/>
      <c r="Q307" s="8"/>
      <c r="R307" s="38"/>
      <c r="S307" s="38"/>
      <c r="T307" s="38"/>
      <c r="U307" s="38"/>
      <c r="V307" s="38"/>
      <c r="W307" s="38"/>
      <c r="X307" s="38"/>
      <c r="Y307"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07" s="38"/>
      <c r="AA307"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07" s="8"/>
      <c r="AC307" s="203"/>
      <c r="AD307"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07"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07" s="503"/>
      <c r="AG307" s="44"/>
      <c r="AH307" s="189" t="str">
        <f>IF(COUNTA(CCTSAS[[#This Row],[N°]:[heures annuelles
selon contrat(s)]])=0,"",REVEX!$E$9)</f>
        <v/>
      </c>
      <c r="AI307" s="73" t="str">
        <f>IF(CCTSAS[[#This Row],[Allocation fonctions]]="","",IF(ISNA(VLOOKUP(CCTSAS[[#This Row],[Allocation fonctions]],'Variable et Dropdowns'!H302:H318,1,FALSE))=TRUE,"Veuillez utiliser les allocations parmis la liste déroulante.",""))</f>
        <v/>
      </c>
    </row>
    <row r="308" spans="1:35" x14ac:dyDescent="0.25">
      <c r="A308" s="73" t="str">
        <f>IF(CCTSAS[[#This Row],[Carrière]]="","",IF(ISNA(VLOOKUP(CCTSAS[[#This Row],[Carrière]],DROPDOWN[Dropdown9],1,FALSE))=TRUE,"Carrière: Utiliser la liste déroulante",""))</f>
        <v/>
      </c>
      <c r="B308" s="8"/>
      <c r="C308" s="8"/>
      <c r="D308" s="8"/>
      <c r="E308" s="21"/>
      <c r="F308" s="64"/>
      <c r="G308" s="8"/>
      <c r="H308" s="8"/>
      <c r="I308" s="10"/>
      <c r="J308" s="10"/>
      <c r="K308" s="9"/>
      <c r="L308" s="9"/>
      <c r="M308" s="9"/>
      <c r="N308"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08" s="9"/>
      <c r="P308" s="9"/>
      <c r="Q308" s="8"/>
      <c r="R308" s="38"/>
      <c r="S308" s="38"/>
      <c r="T308" s="38"/>
      <c r="U308" s="38"/>
      <c r="V308" s="38"/>
      <c r="W308" s="38"/>
      <c r="X308" s="38"/>
      <c r="Y308"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08" s="38"/>
      <c r="AA308"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08" s="8"/>
      <c r="AC308" s="203"/>
      <c r="AD308"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08"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08" s="503"/>
      <c r="AG308" s="44"/>
      <c r="AH308" s="189" t="str">
        <f>IF(COUNTA(CCTSAS[[#This Row],[N°]:[heures annuelles
selon contrat(s)]])=0,"",REVEX!$E$9)</f>
        <v/>
      </c>
      <c r="AI308" s="73" t="str">
        <f>IF(CCTSAS[[#This Row],[Allocation fonctions]]="","",IF(ISNA(VLOOKUP(CCTSAS[[#This Row],[Allocation fonctions]],'Variable et Dropdowns'!H303:H319,1,FALSE))=TRUE,"Veuillez utiliser les allocations parmis la liste déroulante.",""))</f>
        <v/>
      </c>
    </row>
    <row r="309" spans="1:35" x14ac:dyDescent="0.25">
      <c r="A309" s="73" t="str">
        <f>IF(CCTSAS[[#This Row],[Carrière]]="","",IF(ISNA(VLOOKUP(CCTSAS[[#This Row],[Carrière]],DROPDOWN[Dropdown9],1,FALSE))=TRUE,"Carrière: Utiliser la liste déroulante",""))</f>
        <v/>
      </c>
      <c r="B309" s="8"/>
      <c r="C309" s="8"/>
      <c r="D309" s="8"/>
      <c r="E309" s="21"/>
      <c r="F309" s="64"/>
      <c r="G309" s="8"/>
      <c r="H309" s="8"/>
      <c r="I309" s="10"/>
      <c r="J309" s="10"/>
      <c r="K309" s="9"/>
      <c r="L309" s="9"/>
      <c r="M309" s="9"/>
      <c r="N309"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09" s="9"/>
      <c r="P309" s="9"/>
      <c r="Q309" s="8"/>
      <c r="R309" s="38"/>
      <c r="S309" s="38"/>
      <c r="T309" s="38"/>
      <c r="U309" s="38"/>
      <c r="V309" s="38"/>
      <c r="W309" s="38"/>
      <c r="X309" s="38"/>
      <c r="Y309"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09" s="38"/>
      <c r="AA309"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09" s="8"/>
      <c r="AC309" s="203"/>
      <c r="AD309"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09"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09" s="503"/>
      <c r="AG309" s="44"/>
      <c r="AH309" s="189" t="str">
        <f>IF(COUNTA(CCTSAS[[#This Row],[N°]:[heures annuelles
selon contrat(s)]])=0,"",REVEX!$E$9)</f>
        <v/>
      </c>
      <c r="AI309" s="73" t="str">
        <f>IF(CCTSAS[[#This Row],[Allocation fonctions]]="","",IF(ISNA(VLOOKUP(CCTSAS[[#This Row],[Allocation fonctions]],'Variable et Dropdowns'!H304:H320,1,FALSE))=TRUE,"Veuillez utiliser les allocations parmis la liste déroulante.",""))</f>
        <v/>
      </c>
    </row>
    <row r="310" spans="1:35" x14ac:dyDescent="0.25">
      <c r="A310" s="73" t="str">
        <f>IF(CCTSAS[[#This Row],[Carrière]]="","",IF(ISNA(VLOOKUP(CCTSAS[[#This Row],[Carrière]],DROPDOWN[Dropdown9],1,FALSE))=TRUE,"Carrière: Utiliser la liste déroulante",""))</f>
        <v/>
      </c>
      <c r="B310" s="8"/>
      <c r="C310" s="8"/>
      <c r="D310" s="8"/>
      <c r="E310" s="21"/>
      <c r="F310" s="64"/>
      <c r="G310" s="8"/>
      <c r="H310" s="8"/>
      <c r="I310" s="10"/>
      <c r="J310" s="10"/>
      <c r="K310" s="9"/>
      <c r="L310" s="9"/>
      <c r="M310" s="9"/>
      <c r="N310"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10" s="9"/>
      <c r="P310" s="9"/>
      <c r="Q310" s="8"/>
      <c r="R310" s="38"/>
      <c r="S310" s="38"/>
      <c r="T310" s="38"/>
      <c r="U310" s="38"/>
      <c r="V310" s="38"/>
      <c r="W310" s="38"/>
      <c r="X310" s="38"/>
      <c r="Y310"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10" s="38"/>
      <c r="AA310"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10" s="8"/>
      <c r="AC310" s="203"/>
      <c r="AD310"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10"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10" s="503"/>
      <c r="AG310" s="44"/>
      <c r="AH310" s="189" t="str">
        <f>IF(COUNTA(CCTSAS[[#This Row],[N°]:[heures annuelles
selon contrat(s)]])=0,"",REVEX!$E$9)</f>
        <v/>
      </c>
      <c r="AI310" s="73" t="str">
        <f>IF(CCTSAS[[#This Row],[Allocation fonctions]]="","",IF(ISNA(VLOOKUP(CCTSAS[[#This Row],[Allocation fonctions]],'Variable et Dropdowns'!H305:H321,1,FALSE))=TRUE,"Veuillez utiliser les allocations parmis la liste déroulante.",""))</f>
        <v/>
      </c>
    </row>
    <row r="311" spans="1:35" x14ac:dyDescent="0.25">
      <c r="A311" s="73" t="str">
        <f>IF(CCTSAS[[#This Row],[Carrière]]="","",IF(ISNA(VLOOKUP(CCTSAS[[#This Row],[Carrière]],DROPDOWN[Dropdown9],1,FALSE))=TRUE,"Carrière: Utiliser la liste déroulante",""))</f>
        <v/>
      </c>
      <c r="B311" s="8"/>
      <c r="C311" s="8"/>
      <c r="D311" s="8"/>
      <c r="E311" s="21"/>
      <c r="F311" s="64"/>
      <c r="G311" s="8"/>
      <c r="H311" s="8"/>
      <c r="I311" s="10"/>
      <c r="J311" s="10"/>
      <c r="K311" s="9"/>
      <c r="L311" s="9"/>
      <c r="M311" s="9"/>
      <c r="N311"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11" s="9"/>
      <c r="P311" s="9"/>
      <c r="Q311" s="8"/>
      <c r="R311" s="38"/>
      <c r="S311" s="38"/>
      <c r="T311" s="38"/>
      <c r="U311" s="38"/>
      <c r="V311" s="38"/>
      <c r="W311" s="38"/>
      <c r="X311" s="38"/>
      <c r="Y311"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11" s="38"/>
      <c r="AA311"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11" s="8"/>
      <c r="AC311" s="203"/>
      <c r="AD311"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11"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11" s="503"/>
      <c r="AG311" s="44"/>
      <c r="AH311" s="189" t="str">
        <f>IF(COUNTA(CCTSAS[[#This Row],[N°]:[heures annuelles
selon contrat(s)]])=0,"",REVEX!$E$9)</f>
        <v/>
      </c>
      <c r="AI311" s="73" t="str">
        <f>IF(CCTSAS[[#This Row],[Allocation fonctions]]="","",IF(ISNA(VLOOKUP(CCTSAS[[#This Row],[Allocation fonctions]],'Variable et Dropdowns'!H306:H322,1,FALSE))=TRUE,"Veuillez utiliser les allocations parmis la liste déroulante.",""))</f>
        <v/>
      </c>
    </row>
    <row r="312" spans="1:35" x14ac:dyDescent="0.25">
      <c r="A312" s="73" t="str">
        <f>IF(CCTSAS[[#This Row],[Carrière]]="","",IF(ISNA(VLOOKUP(CCTSAS[[#This Row],[Carrière]],DROPDOWN[Dropdown9],1,FALSE))=TRUE,"Carrière: Utiliser la liste déroulante",""))</f>
        <v/>
      </c>
      <c r="B312" s="8"/>
      <c r="C312" s="8"/>
      <c r="D312" s="8"/>
      <c r="E312" s="21"/>
      <c r="F312" s="64"/>
      <c r="G312" s="8"/>
      <c r="H312" s="8"/>
      <c r="I312" s="10"/>
      <c r="J312" s="10"/>
      <c r="K312" s="9"/>
      <c r="L312" s="9"/>
      <c r="M312" s="9"/>
      <c r="N312"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12" s="9"/>
      <c r="P312" s="9"/>
      <c r="Q312" s="8"/>
      <c r="R312" s="38"/>
      <c r="S312" s="38"/>
      <c r="T312" s="38"/>
      <c r="U312" s="38"/>
      <c r="V312" s="38"/>
      <c r="W312" s="38"/>
      <c r="X312" s="38"/>
      <c r="Y312"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12" s="38"/>
      <c r="AA312"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12" s="8"/>
      <c r="AC312" s="203"/>
      <c r="AD312"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12"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12" s="503"/>
      <c r="AG312" s="44"/>
      <c r="AH312" s="189" t="str">
        <f>IF(COUNTA(CCTSAS[[#This Row],[N°]:[heures annuelles
selon contrat(s)]])=0,"",REVEX!$E$9)</f>
        <v/>
      </c>
      <c r="AI312" s="73" t="str">
        <f>IF(CCTSAS[[#This Row],[Allocation fonctions]]="","",IF(ISNA(VLOOKUP(CCTSAS[[#This Row],[Allocation fonctions]],'Variable et Dropdowns'!H307:H323,1,FALSE))=TRUE,"Veuillez utiliser les allocations parmis la liste déroulante.",""))</f>
        <v/>
      </c>
    </row>
    <row r="313" spans="1:35" x14ac:dyDescent="0.25">
      <c r="A313" s="73" t="str">
        <f>IF(CCTSAS[[#This Row],[Carrière]]="","",IF(ISNA(VLOOKUP(CCTSAS[[#This Row],[Carrière]],DROPDOWN[Dropdown9],1,FALSE))=TRUE,"Carrière: Utiliser la liste déroulante",""))</f>
        <v/>
      </c>
      <c r="B313" s="8"/>
      <c r="C313" s="8"/>
      <c r="D313" s="8"/>
      <c r="E313" s="21"/>
      <c r="F313" s="64"/>
      <c r="G313" s="8"/>
      <c r="H313" s="8"/>
      <c r="I313" s="10"/>
      <c r="J313" s="10"/>
      <c r="K313" s="9"/>
      <c r="L313" s="9"/>
      <c r="M313" s="9"/>
      <c r="N313"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13" s="9"/>
      <c r="P313" s="9"/>
      <c r="Q313" s="8"/>
      <c r="R313" s="38"/>
      <c r="S313" s="38"/>
      <c r="T313" s="38"/>
      <c r="U313" s="38"/>
      <c r="V313" s="38"/>
      <c r="W313" s="38"/>
      <c r="X313" s="38"/>
      <c r="Y313"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13" s="38"/>
      <c r="AA313"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13" s="8"/>
      <c r="AC313" s="203"/>
      <c r="AD313"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13"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13" s="503"/>
      <c r="AG313" s="44"/>
      <c r="AH313" s="189" t="str">
        <f>IF(COUNTA(CCTSAS[[#This Row],[N°]:[heures annuelles
selon contrat(s)]])=0,"",REVEX!$E$9)</f>
        <v/>
      </c>
      <c r="AI313" s="73" t="str">
        <f>IF(CCTSAS[[#This Row],[Allocation fonctions]]="","",IF(ISNA(VLOOKUP(CCTSAS[[#This Row],[Allocation fonctions]],'Variable et Dropdowns'!H308:H324,1,FALSE))=TRUE,"Veuillez utiliser les allocations parmis la liste déroulante.",""))</f>
        <v/>
      </c>
    </row>
    <row r="314" spans="1:35" x14ac:dyDescent="0.25">
      <c r="A314" s="73" t="str">
        <f>IF(CCTSAS[[#This Row],[Carrière]]="","",IF(ISNA(VLOOKUP(CCTSAS[[#This Row],[Carrière]],DROPDOWN[Dropdown9],1,FALSE))=TRUE,"Carrière: Utiliser la liste déroulante",""))</f>
        <v/>
      </c>
      <c r="B314" s="8"/>
      <c r="C314" s="8"/>
      <c r="D314" s="8"/>
      <c r="E314" s="21"/>
      <c r="F314" s="64"/>
      <c r="G314" s="8"/>
      <c r="H314" s="8"/>
      <c r="I314" s="10"/>
      <c r="J314" s="10"/>
      <c r="K314" s="9"/>
      <c r="L314" s="9"/>
      <c r="M314" s="9"/>
      <c r="N314"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14" s="9"/>
      <c r="P314" s="9"/>
      <c r="Q314" s="8"/>
      <c r="R314" s="38"/>
      <c r="S314" s="38"/>
      <c r="T314" s="38"/>
      <c r="U314" s="38"/>
      <c r="V314" s="38"/>
      <c r="W314" s="38"/>
      <c r="X314" s="38"/>
      <c r="Y314"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14" s="38"/>
      <c r="AA314"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14" s="8"/>
      <c r="AC314" s="203"/>
      <c r="AD314"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14"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14" s="503"/>
      <c r="AG314" s="44"/>
      <c r="AH314" s="189" t="str">
        <f>IF(COUNTA(CCTSAS[[#This Row],[N°]:[heures annuelles
selon contrat(s)]])=0,"",REVEX!$E$9)</f>
        <v/>
      </c>
      <c r="AI314" s="73" t="str">
        <f>IF(CCTSAS[[#This Row],[Allocation fonctions]]="","",IF(ISNA(VLOOKUP(CCTSAS[[#This Row],[Allocation fonctions]],'Variable et Dropdowns'!H309:H325,1,FALSE))=TRUE,"Veuillez utiliser les allocations parmis la liste déroulante.",""))</f>
        <v/>
      </c>
    </row>
    <row r="315" spans="1:35" x14ac:dyDescent="0.25">
      <c r="A315" s="73" t="str">
        <f>IF(CCTSAS[[#This Row],[Carrière]]="","",IF(ISNA(VLOOKUP(CCTSAS[[#This Row],[Carrière]],DROPDOWN[Dropdown9],1,FALSE))=TRUE,"Carrière: Utiliser la liste déroulante",""))</f>
        <v/>
      </c>
      <c r="B315" s="8"/>
      <c r="C315" s="8"/>
      <c r="D315" s="8"/>
      <c r="E315" s="21"/>
      <c r="F315" s="64"/>
      <c r="G315" s="8"/>
      <c r="H315" s="8"/>
      <c r="I315" s="10"/>
      <c r="J315" s="10"/>
      <c r="K315" s="9"/>
      <c r="L315" s="9"/>
      <c r="M315" s="9"/>
      <c r="N315"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15" s="9"/>
      <c r="P315" s="9"/>
      <c r="Q315" s="8"/>
      <c r="R315" s="38"/>
      <c r="S315" s="38"/>
      <c r="T315" s="38"/>
      <c r="U315" s="38"/>
      <c r="V315" s="38"/>
      <c r="W315" s="38"/>
      <c r="X315" s="38"/>
      <c r="Y315"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15" s="38"/>
      <c r="AA315"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15" s="8"/>
      <c r="AC315" s="203"/>
      <c r="AD315"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15"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15" s="503"/>
      <c r="AG315" s="44"/>
      <c r="AH315" s="189" t="str">
        <f>IF(COUNTA(CCTSAS[[#This Row],[N°]:[heures annuelles
selon contrat(s)]])=0,"",REVEX!$E$9)</f>
        <v/>
      </c>
      <c r="AI315" s="73" t="str">
        <f>IF(CCTSAS[[#This Row],[Allocation fonctions]]="","",IF(ISNA(VLOOKUP(CCTSAS[[#This Row],[Allocation fonctions]],'Variable et Dropdowns'!H310:H326,1,FALSE))=TRUE,"Veuillez utiliser les allocations parmis la liste déroulante.",""))</f>
        <v/>
      </c>
    </row>
    <row r="316" spans="1:35" x14ac:dyDescent="0.25">
      <c r="A316" s="73" t="str">
        <f>IF(CCTSAS[[#This Row],[Carrière]]="","",IF(ISNA(VLOOKUP(CCTSAS[[#This Row],[Carrière]],DROPDOWN[Dropdown9],1,FALSE))=TRUE,"Carrière: Utiliser la liste déroulante",""))</f>
        <v/>
      </c>
      <c r="B316" s="8"/>
      <c r="C316" s="8"/>
      <c r="D316" s="8"/>
      <c r="E316" s="21"/>
      <c r="F316" s="64"/>
      <c r="G316" s="8"/>
      <c r="H316" s="8"/>
      <c r="I316" s="10"/>
      <c r="J316" s="10"/>
      <c r="K316" s="9"/>
      <c r="L316" s="9"/>
      <c r="M316" s="9"/>
      <c r="N316"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16" s="9"/>
      <c r="P316" s="9"/>
      <c r="Q316" s="8"/>
      <c r="R316" s="38"/>
      <c r="S316" s="38"/>
      <c r="T316" s="38"/>
      <c r="U316" s="38"/>
      <c r="V316" s="38"/>
      <c r="W316" s="38"/>
      <c r="X316" s="38"/>
      <c r="Y316"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16" s="38"/>
      <c r="AA316"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16" s="8"/>
      <c r="AC316" s="203"/>
      <c r="AD316"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16"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16" s="503"/>
      <c r="AG316" s="44"/>
      <c r="AH316" s="189" t="str">
        <f>IF(COUNTA(CCTSAS[[#This Row],[N°]:[heures annuelles
selon contrat(s)]])=0,"",REVEX!$E$9)</f>
        <v/>
      </c>
      <c r="AI316" s="73" t="str">
        <f>IF(CCTSAS[[#This Row],[Allocation fonctions]]="","",IF(ISNA(VLOOKUP(CCTSAS[[#This Row],[Allocation fonctions]],'Variable et Dropdowns'!H311:H327,1,FALSE))=TRUE,"Veuillez utiliser les allocations parmis la liste déroulante.",""))</f>
        <v/>
      </c>
    </row>
    <row r="317" spans="1:35" x14ac:dyDescent="0.25">
      <c r="A317" s="73" t="str">
        <f>IF(CCTSAS[[#This Row],[Carrière]]="","",IF(ISNA(VLOOKUP(CCTSAS[[#This Row],[Carrière]],DROPDOWN[Dropdown9],1,FALSE))=TRUE,"Carrière: Utiliser la liste déroulante",""))</f>
        <v/>
      </c>
      <c r="B317" s="8"/>
      <c r="C317" s="8"/>
      <c r="D317" s="8"/>
      <c r="E317" s="21"/>
      <c r="F317" s="64"/>
      <c r="G317" s="8"/>
      <c r="H317" s="8"/>
      <c r="I317" s="10"/>
      <c r="J317" s="10"/>
      <c r="K317" s="9"/>
      <c r="L317" s="9"/>
      <c r="M317" s="9"/>
      <c r="N317"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17" s="9"/>
      <c r="P317" s="9"/>
      <c r="Q317" s="8"/>
      <c r="R317" s="38"/>
      <c r="S317" s="38"/>
      <c r="T317" s="38"/>
      <c r="U317" s="38"/>
      <c r="V317" s="38"/>
      <c r="W317" s="38"/>
      <c r="X317" s="38"/>
      <c r="Y317"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17" s="38"/>
      <c r="AA317"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17" s="8"/>
      <c r="AC317" s="203"/>
      <c r="AD317"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17"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17" s="503"/>
      <c r="AG317" s="44"/>
      <c r="AH317" s="189" t="str">
        <f>IF(COUNTA(CCTSAS[[#This Row],[N°]:[heures annuelles
selon contrat(s)]])=0,"",REVEX!$E$9)</f>
        <v/>
      </c>
      <c r="AI317" s="73" t="str">
        <f>IF(CCTSAS[[#This Row],[Allocation fonctions]]="","",IF(ISNA(VLOOKUP(CCTSAS[[#This Row],[Allocation fonctions]],'Variable et Dropdowns'!H312:H328,1,FALSE))=TRUE,"Veuillez utiliser les allocations parmis la liste déroulante.",""))</f>
        <v/>
      </c>
    </row>
    <row r="318" spans="1:35" x14ac:dyDescent="0.25">
      <c r="A318" s="73" t="str">
        <f>IF(CCTSAS[[#This Row],[Carrière]]="","",IF(ISNA(VLOOKUP(CCTSAS[[#This Row],[Carrière]],DROPDOWN[Dropdown9],1,FALSE))=TRUE,"Carrière: Utiliser la liste déroulante",""))</f>
        <v/>
      </c>
      <c r="B318" s="8"/>
      <c r="C318" s="8"/>
      <c r="D318" s="8"/>
      <c r="E318" s="21"/>
      <c r="F318" s="64"/>
      <c r="G318" s="8"/>
      <c r="H318" s="8"/>
      <c r="I318" s="10"/>
      <c r="J318" s="10"/>
      <c r="K318" s="9"/>
      <c r="L318" s="9"/>
      <c r="M318" s="9"/>
      <c r="N318"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18" s="9"/>
      <c r="P318" s="9"/>
      <c r="Q318" s="8"/>
      <c r="R318" s="38"/>
      <c r="S318" s="38"/>
      <c r="T318" s="38"/>
      <c r="U318" s="38"/>
      <c r="V318" s="38"/>
      <c r="W318" s="38"/>
      <c r="X318" s="38"/>
      <c r="Y318"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18" s="38"/>
      <c r="AA318"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18" s="8"/>
      <c r="AC318" s="203"/>
      <c r="AD318"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18"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18" s="503"/>
      <c r="AG318" s="44"/>
      <c r="AH318" s="189" t="str">
        <f>IF(COUNTA(CCTSAS[[#This Row],[N°]:[heures annuelles
selon contrat(s)]])=0,"",REVEX!$E$9)</f>
        <v/>
      </c>
      <c r="AI318" s="73" t="str">
        <f>IF(CCTSAS[[#This Row],[Allocation fonctions]]="","",IF(ISNA(VLOOKUP(CCTSAS[[#This Row],[Allocation fonctions]],'Variable et Dropdowns'!H313:H329,1,FALSE))=TRUE,"Veuillez utiliser les allocations parmis la liste déroulante.",""))</f>
        <v/>
      </c>
    </row>
    <row r="319" spans="1:35" x14ac:dyDescent="0.25">
      <c r="A319" s="73" t="str">
        <f>IF(CCTSAS[[#This Row],[Carrière]]="","",IF(ISNA(VLOOKUP(CCTSAS[[#This Row],[Carrière]],DROPDOWN[Dropdown9],1,FALSE))=TRUE,"Carrière: Utiliser la liste déroulante",""))</f>
        <v/>
      </c>
      <c r="B319" s="8"/>
      <c r="C319" s="8"/>
      <c r="D319" s="8"/>
      <c r="E319" s="21"/>
      <c r="F319" s="64"/>
      <c r="G319" s="8"/>
      <c r="H319" s="8"/>
      <c r="I319" s="10"/>
      <c r="J319" s="10"/>
      <c r="K319" s="9"/>
      <c r="L319" s="9"/>
      <c r="M319" s="9"/>
      <c r="N319"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19" s="9"/>
      <c r="P319" s="9"/>
      <c r="Q319" s="8"/>
      <c r="R319" s="38"/>
      <c r="S319" s="38"/>
      <c r="T319" s="38"/>
      <c r="U319" s="38"/>
      <c r="V319" s="38"/>
      <c r="W319" s="38"/>
      <c r="X319" s="38"/>
      <c r="Y319"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19" s="38"/>
      <c r="AA319"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19" s="8"/>
      <c r="AC319" s="203"/>
      <c r="AD319"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19"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19" s="503"/>
      <c r="AG319" s="44"/>
      <c r="AH319" s="189" t="str">
        <f>IF(COUNTA(CCTSAS[[#This Row],[N°]:[heures annuelles
selon contrat(s)]])=0,"",REVEX!$E$9)</f>
        <v/>
      </c>
      <c r="AI319" s="73" t="str">
        <f>IF(CCTSAS[[#This Row],[Allocation fonctions]]="","",IF(ISNA(VLOOKUP(CCTSAS[[#This Row],[Allocation fonctions]],'Variable et Dropdowns'!H314:H330,1,FALSE))=TRUE,"Veuillez utiliser les allocations parmis la liste déroulante.",""))</f>
        <v/>
      </c>
    </row>
    <row r="320" spans="1:35" x14ac:dyDescent="0.25">
      <c r="A320" s="73" t="str">
        <f>IF(CCTSAS[[#This Row],[Carrière]]="","",IF(ISNA(VLOOKUP(CCTSAS[[#This Row],[Carrière]],DROPDOWN[Dropdown9],1,FALSE))=TRUE,"Carrière: Utiliser la liste déroulante",""))</f>
        <v/>
      </c>
      <c r="B320" s="8"/>
      <c r="C320" s="8"/>
      <c r="D320" s="8"/>
      <c r="E320" s="21"/>
      <c r="F320" s="64"/>
      <c r="G320" s="8"/>
      <c r="H320" s="8"/>
      <c r="I320" s="10"/>
      <c r="J320" s="10"/>
      <c r="K320" s="9"/>
      <c r="L320" s="9"/>
      <c r="M320" s="9"/>
      <c r="N320"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20" s="9"/>
      <c r="P320" s="9"/>
      <c r="Q320" s="8"/>
      <c r="R320" s="38"/>
      <c r="S320" s="38"/>
      <c r="T320" s="38"/>
      <c r="U320" s="38"/>
      <c r="V320" s="38"/>
      <c r="W320" s="38"/>
      <c r="X320" s="38"/>
      <c r="Y320"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20" s="38"/>
      <c r="AA320"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20" s="8"/>
      <c r="AC320" s="203"/>
      <c r="AD320"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20"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20" s="503"/>
      <c r="AG320" s="44"/>
      <c r="AH320" s="189" t="str">
        <f>IF(COUNTA(CCTSAS[[#This Row],[N°]:[heures annuelles
selon contrat(s)]])=0,"",REVEX!$E$9)</f>
        <v/>
      </c>
      <c r="AI320" s="73" t="str">
        <f>IF(CCTSAS[[#This Row],[Allocation fonctions]]="","",IF(ISNA(VLOOKUP(CCTSAS[[#This Row],[Allocation fonctions]],'Variable et Dropdowns'!H315:H331,1,FALSE))=TRUE,"Veuillez utiliser les allocations parmis la liste déroulante.",""))</f>
        <v/>
      </c>
    </row>
    <row r="321" spans="1:35" x14ac:dyDescent="0.25">
      <c r="A321" s="73" t="str">
        <f>IF(CCTSAS[[#This Row],[Carrière]]="","",IF(ISNA(VLOOKUP(CCTSAS[[#This Row],[Carrière]],DROPDOWN[Dropdown9],1,FALSE))=TRUE,"Carrière: Utiliser la liste déroulante",""))</f>
        <v/>
      </c>
      <c r="B321" s="8"/>
      <c r="C321" s="8"/>
      <c r="D321" s="8"/>
      <c r="E321" s="21"/>
      <c r="F321" s="64"/>
      <c r="G321" s="8"/>
      <c r="H321" s="8"/>
      <c r="I321" s="10"/>
      <c r="J321" s="10"/>
      <c r="K321" s="9"/>
      <c r="L321" s="9"/>
      <c r="M321" s="9"/>
      <c r="N321"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21" s="9"/>
      <c r="P321" s="9"/>
      <c r="Q321" s="8"/>
      <c r="R321" s="38"/>
      <c r="S321" s="38"/>
      <c r="T321" s="38"/>
      <c r="U321" s="38"/>
      <c r="V321" s="38"/>
      <c r="W321" s="38"/>
      <c r="X321" s="38"/>
      <c r="Y321"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21" s="38"/>
      <c r="AA321"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21" s="8"/>
      <c r="AC321" s="203"/>
      <c r="AD321"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21"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21" s="503"/>
      <c r="AG321" s="44"/>
      <c r="AH321" s="189" t="str">
        <f>IF(COUNTA(CCTSAS[[#This Row],[N°]:[heures annuelles
selon contrat(s)]])=0,"",REVEX!$E$9)</f>
        <v/>
      </c>
      <c r="AI321" s="73" t="str">
        <f>IF(CCTSAS[[#This Row],[Allocation fonctions]]="","",IF(ISNA(VLOOKUP(CCTSAS[[#This Row],[Allocation fonctions]],'Variable et Dropdowns'!H316:H332,1,FALSE))=TRUE,"Veuillez utiliser les allocations parmis la liste déroulante.",""))</f>
        <v/>
      </c>
    </row>
    <row r="322" spans="1:35" x14ac:dyDescent="0.25">
      <c r="A322" s="73" t="str">
        <f>IF(CCTSAS[[#This Row],[Carrière]]="","",IF(ISNA(VLOOKUP(CCTSAS[[#This Row],[Carrière]],DROPDOWN[Dropdown9],1,FALSE))=TRUE,"Carrière: Utiliser la liste déroulante",""))</f>
        <v/>
      </c>
      <c r="B322" s="8"/>
      <c r="C322" s="8"/>
      <c r="D322" s="8"/>
      <c r="E322" s="21"/>
      <c r="F322" s="64"/>
      <c r="G322" s="8"/>
      <c r="H322" s="8"/>
      <c r="I322" s="10"/>
      <c r="J322" s="10"/>
      <c r="K322" s="9"/>
      <c r="L322" s="9"/>
      <c r="M322" s="9"/>
      <c r="N322"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22" s="9"/>
      <c r="P322" s="9"/>
      <c r="Q322" s="8"/>
      <c r="R322" s="38"/>
      <c r="S322" s="38"/>
      <c r="T322" s="38"/>
      <c r="U322" s="38"/>
      <c r="V322" s="38"/>
      <c r="W322" s="38"/>
      <c r="X322" s="38"/>
      <c r="Y322"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22" s="38"/>
      <c r="AA322"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22" s="8"/>
      <c r="AC322" s="203"/>
      <c r="AD322"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22"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22" s="503"/>
      <c r="AG322" s="44"/>
      <c r="AH322" s="189" t="str">
        <f>IF(COUNTA(CCTSAS[[#This Row],[N°]:[heures annuelles
selon contrat(s)]])=0,"",REVEX!$E$9)</f>
        <v/>
      </c>
      <c r="AI322" s="73" t="str">
        <f>IF(CCTSAS[[#This Row],[Allocation fonctions]]="","",IF(ISNA(VLOOKUP(CCTSAS[[#This Row],[Allocation fonctions]],'Variable et Dropdowns'!H317:H333,1,FALSE))=TRUE,"Veuillez utiliser les allocations parmis la liste déroulante.",""))</f>
        <v/>
      </c>
    </row>
    <row r="323" spans="1:35" x14ac:dyDescent="0.25">
      <c r="A323" s="73" t="str">
        <f>IF(CCTSAS[[#This Row],[Carrière]]="","",IF(ISNA(VLOOKUP(CCTSAS[[#This Row],[Carrière]],DROPDOWN[Dropdown9],1,FALSE))=TRUE,"Carrière: Utiliser la liste déroulante",""))</f>
        <v/>
      </c>
      <c r="B323" s="8"/>
      <c r="C323" s="8"/>
      <c r="D323" s="8"/>
      <c r="E323" s="21"/>
      <c r="F323" s="64"/>
      <c r="G323" s="8"/>
      <c r="H323" s="8"/>
      <c r="I323" s="10"/>
      <c r="J323" s="10"/>
      <c r="K323" s="9"/>
      <c r="L323" s="9"/>
      <c r="M323" s="9"/>
      <c r="N323"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23" s="9"/>
      <c r="P323" s="9"/>
      <c r="Q323" s="8"/>
      <c r="R323" s="38"/>
      <c r="S323" s="38"/>
      <c r="T323" s="38"/>
      <c r="U323" s="38"/>
      <c r="V323" s="38"/>
      <c r="W323" s="38"/>
      <c r="X323" s="38"/>
      <c r="Y323"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23" s="38"/>
      <c r="AA323"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23" s="8"/>
      <c r="AC323" s="203"/>
      <c r="AD323"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23"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23" s="503"/>
      <c r="AG323" s="44"/>
      <c r="AH323" s="189" t="str">
        <f>IF(COUNTA(CCTSAS[[#This Row],[N°]:[heures annuelles
selon contrat(s)]])=0,"",REVEX!$E$9)</f>
        <v/>
      </c>
      <c r="AI323" s="73" t="str">
        <f>IF(CCTSAS[[#This Row],[Allocation fonctions]]="","",IF(ISNA(VLOOKUP(CCTSAS[[#This Row],[Allocation fonctions]],'Variable et Dropdowns'!H318:H334,1,FALSE))=TRUE,"Veuillez utiliser les allocations parmis la liste déroulante.",""))</f>
        <v/>
      </c>
    </row>
    <row r="324" spans="1:35" x14ac:dyDescent="0.25">
      <c r="A324" s="73" t="str">
        <f>IF(CCTSAS[[#This Row],[Carrière]]="","",IF(ISNA(VLOOKUP(CCTSAS[[#This Row],[Carrière]],DROPDOWN[Dropdown9],1,FALSE))=TRUE,"Carrière: Utiliser la liste déroulante",""))</f>
        <v/>
      </c>
      <c r="B324" s="8"/>
      <c r="C324" s="8"/>
      <c r="D324" s="8"/>
      <c r="E324" s="21"/>
      <c r="F324" s="64"/>
      <c r="G324" s="8"/>
      <c r="H324" s="8"/>
      <c r="I324" s="10"/>
      <c r="J324" s="10"/>
      <c r="K324" s="9"/>
      <c r="L324" s="9"/>
      <c r="M324" s="9"/>
      <c r="N324"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24" s="9"/>
      <c r="P324" s="9"/>
      <c r="Q324" s="8"/>
      <c r="R324" s="38"/>
      <c r="S324" s="38"/>
      <c r="T324" s="38"/>
      <c r="U324" s="38"/>
      <c r="V324" s="38"/>
      <c r="W324" s="38"/>
      <c r="X324" s="38"/>
      <c r="Y324"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24" s="38"/>
      <c r="AA324"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24" s="8"/>
      <c r="AC324" s="203"/>
      <c r="AD324"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24"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24" s="503"/>
      <c r="AG324" s="44"/>
      <c r="AH324" s="189" t="str">
        <f>IF(COUNTA(CCTSAS[[#This Row],[N°]:[heures annuelles
selon contrat(s)]])=0,"",REVEX!$E$9)</f>
        <v/>
      </c>
      <c r="AI324" s="73" t="str">
        <f>IF(CCTSAS[[#This Row],[Allocation fonctions]]="","",IF(ISNA(VLOOKUP(CCTSAS[[#This Row],[Allocation fonctions]],'Variable et Dropdowns'!H319:H335,1,FALSE))=TRUE,"Veuillez utiliser les allocations parmis la liste déroulante.",""))</f>
        <v/>
      </c>
    </row>
    <row r="325" spans="1:35" x14ac:dyDescent="0.25">
      <c r="A325" s="73" t="str">
        <f>IF(CCTSAS[[#This Row],[Carrière]]="","",IF(ISNA(VLOOKUP(CCTSAS[[#This Row],[Carrière]],DROPDOWN[Dropdown9],1,FALSE))=TRUE,"Carrière: Utiliser la liste déroulante",""))</f>
        <v/>
      </c>
      <c r="B325" s="8"/>
      <c r="C325" s="8"/>
      <c r="D325" s="8"/>
      <c r="E325" s="21"/>
      <c r="F325" s="64"/>
      <c r="G325" s="8"/>
      <c r="H325" s="8"/>
      <c r="I325" s="10"/>
      <c r="J325" s="10"/>
      <c r="K325" s="9"/>
      <c r="L325" s="9"/>
      <c r="M325" s="9"/>
      <c r="N325"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25" s="9"/>
      <c r="P325" s="9"/>
      <c r="Q325" s="8"/>
      <c r="R325" s="38"/>
      <c r="S325" s="38"/>
      <c r="T325" s="38"/>
      <c r="U325" s="38"/>
      <c r="V325" s="38"/>
      <c r="W325" s="38"/>
      <c r="X325" s="38"/>
      <c r="Y325"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25" s="38"/>
      <c r="AA325"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25" s="8"/>
      <c r="AC325" s="203"/>
      <c r="AD325"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25"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25" s="503"/>
      <c r="AG325" s="44"/>
      <c r="AH325" s="189" t="str">
        <f>IF(COUNTA(CCTSAS[[#This Row],[N°]:[heures annuelles
selon contrat(s)]])=0,"",REVEX!$E$9)</f>
        <v/>
      </c>
      <c r="AI325" s="73" t="str">
        <f>IF(CCTSAS[[#This Row],[Allocation fonctions]]="","",IF(ISNA(VLOOKUP(CCTSAS[[#This Row],[Allocation fonctions]],'Variable et Dropdowns'!H320:H336,1,FALSE))=TRUE,"Veuillez utiliser les allocations parmis la liste déroulante.",""))</f>
        <v/>
      </c>
    </row>
    <row r="326" spans="1:35" x14ac:dyDescent="0.25">
      <c r="A326" s="73" t="str">
        <f>IF(CCTSAS[[#This Row],[Carrière]]="","",IF(ISNA(VLOOKUP(CCTSAS[[#This Row],[Carrière]],DROPDOWN[Dropdown9],1,FALSE))=TRUE,"Carrière: Utiliser la liste déroulante",""))</f>
        <v/>
      </c>
      <c r="B326" s="8"/>
      <c r="C326" s="8"/>
      <c r="D326" s="8"/>
      <c r="E326" s="21"/>
      <c r="F326" s="64"/>
      <c r="G326" s="8"/>
      <c r="H326" s="8"/>
      <c r="I326" s="10"/>
      <c r="J326" s="10"/>
      <c r="K326" s="9"/>
      <c r="L326" s="9"/>
      <c r="M326" s="9"/>
      <c r="N326"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26" s="9"/>
      <c r="P326" s="9"/>
      <c r="Q326" s="8"/>
      <c r="R326" s="38"/>
      <c r="S326" s="38"/>
      <c r="T326" s="38"/>
      <c r="U326" s="38"/>
      <c r="V326" s="38"/>
      <c r="W326" s="38"/>
      <c r="X326" s="38"/>
      <c r="Y326"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26" s="38"/>
      <c r="AA326"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26" s="8"/>
      <c r="AC326" s="203"/>
      <c r="AD326"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26"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26" s="503"/>
      <c r="AG326" s="44"/>
      <c r="AH326" s="189" t="str">
        <f>IF(COUNTA(CCTSAS[[#This Row],[N°]:[heures annuelles
selon contrat(s)]])=0,"",REVEX!$E$9)</f>
        <v/>
      </c>
      <c r="AI326" s="73" t="str">
        <f>IF(CCTSAS[[#This Row],[Allocation fonctions]]="","",IF(ISNA(VLOOKUP(CCTSAS[[#This Row],[Allocation fonctions]],'Variable et Dropdowns'!H321:H337,1,FALSE))=TRUE,"Veuillez utiliser les allocations parmis la liste déroulante.",""))</f>
        <v/>
      </c>
    </row>
    <row r="327" spans="1:35" x14ac:dyDescent="0.25">
      <c r="A327" s="73" t="str">
        <f>IF(CCTSAS[[#This Row],[Carrière]]="","",IF(ISNA(VLOOKUP(CCTSAS[[#This Row],[Carrière]],DROPDOWN[Dropdown9],1,FALSE))=TRUE,"Carrière: Utiliser la liste déroulante",""))</f>
        <v/>
      </c>
      <c r="B327" s="8"/>
      <c r="C327" s="8"/>
      <c r="D327" s="8"/>
      <c r="E327" s="21"/>
      <c r="F327" s="64"/>
      <c r="G327" s="8"/>
      <c r="H327" s="8"/>
      <c r="I327" s="10"/>
      <c r="J327" s="10"/>
      <c r="K327" s="9"/>
      <c r="L327" s="9"/>
      <c r="M327" s="9"/>
      <c r="N327"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27" s="9"/>
      <c r="P327" s="9"/>
      <c r="Q327" s="8"/>
      <c r="R327" s="38"/>
      <c r="S327" s="38"/>
      <c r="T327" s="38"/>
      <c r="U327" s="38"/>
      <c r="V327" s="38"/>
      <c r="W327" s="38"/>
      <c r="X327" s="38"/>
      <c r="Y327"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27" s="38"/>
      <c r="AA327"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27" s="8"/>
      <c r="AC327" s="203"/>
      <c r="AD327"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27"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27" s="503"/>
      <c r="AG327" s="44"/>
      <c r="AH327" s="189" t="str">
        <f>IF(COUNTA(CCTSAS[[#This Row],[N°]:[heures annuelles
selon contrat(s)]])=0,"",REVEX!$E$9)</f>
        <v/>
      </c>
      <c r="AI327" s="73" t="str">
        <f>IF(CCTSAS[[#This Row],[Allocation fonctions]]="","",IF(ISNA(VLOOKUP(CCTSAS[[#This Row],[Allocation fonctions]],'Variable et Dropdowns'!H322:H338,1,FALSE))=TRUE,"Veuillez utiliser les allocations parmis la liste déroulante.",""))</f>
        <v/>
      </c>
    </row>
    <row r="328" spans="1:35" x14ac:dyDescent="0.25">
      <c r="A328" s="73" t="str">
        <f>IF(CCTSAS[[#This Row],[Carrière]]="","",IF(ISNA(VLOOKUP(CCTSAS[[#This Row],[Carrière]],DROPDOWN[Dropdown9],1,FALSE))=TRUE,"Carrière: Utiliser la liste déroulante",""))</f>
        <v/>
      </c>
      <c r="B328" s="8"/>
      <c r="C328" s="8"/>
      <c r="D328" s="8"/>
      <c r="E328" s="21"/>
      <c r="F328" s="64"/>
      <c r="G328" s="8"/>
      <c r="H328" s="8"/>
      <c r="I328" s="10"/>
      <c r="J328" s="10"/>
      <c r="K328" s="9"/>
      <c r="L328" s="9"/>
      <c r="M328" s="9"/>
      <c r="N328"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28" s="9"/>
      <c r="P328" s="9"/>
      <c r="Q328" s="8"/>
      <c r="R328" s="38"/>
      <c r="S328" s="38"/>
      <c r="T328" s="38"/>
      <c r="U328" s="38"/>
      <c r="V328" s="38"/>
      <c r="W328" s="38"/>
      <c r="X328" s="38"/>
      <c r="Y328"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28" s="38"/>
      <c r="AA328"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28" s="8"/>
      <c r="AC328" s="203"/>
      <c r="AD328"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28"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28" s="503"/>
      <c r="AG328" s="44"/>
      <c r="AH328" s="189" t="str">
        <f>IF(COUNTA(CCTSAS[[#This Row],[N°]:[heures annuelles
selon contrat(s)]])=0,"",REVEX!$E$9)</f>
        <v/>
      </c>
      <c r="AI328" s="73" t="str">
        <f>IF(CCTSAS[[#This Row],[Allocation fonctions]]="","",IF(ISNA(VLOOKUP(CCTSAS[[#This Row],[Allocation fonctions]],'Variable et Dropdowns'!H323:H339,1,FALSE))=TRUE,"Veuillez utiliser les allocations parmis la liste déroulante.",""))</f>
        <v/>
      </c>
    </row>
    <row r="329" spans="1:35" x14ac:dyDescent="0.25">
      <c r="A329" s="73" t="str">
        <f>IF(CCTSAS[[#This Row],[Carrière]]="","",IF(ISNA(VLOOKUP(CCTSAS[[#This Row],[Carrière]],DROPDOWN[Dropdown9],1,FALSE))=TRUE,"Carrière: Utiliser la liste déroulante",""))</f>
        <v/>
      </c>
      <c r="B329" s="8"/>
      <c r="C329" s="8"/>
      <c r="D329" s="8"/>
      <c r="E329" s="21"/>
      <c r="F329" s="64"/>
      <c r="G329" s="8"/>
      <c r="H329" s="8"/>
      <c r="I329" s="10"/>
      <c r="J329" s="10"/>
      <c r="K329" s="9"/>
      <c r="L329" s="9"/>
      <c r="M329" s="9"/>
      <c r="N329"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29" s="9"/>
      <c r="P329" s="9"/>
      <c r="Q329" s="8"/>
      <c r="R329" s="38"/>
      <c r="S329" s="38"/>
      <c r="T329" s="38"/>
      <c r="U329" s="38"/>
      <c r="V329" s="38"/>
      <c r="W329" s="38"/>
      <c r="X329" s="38"/>
      <c r="Y329"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29" s="38"/>
      <c r="AA329"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29" s="8"/>
      <c r="AC329" s="203"/>
      <c r="AD329"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29"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29" s="503"/>
      <c r="AG329" s="44"/>
      <c r="AH329" s="189" t="str">
        <f>IF(COUNTA(CCTSAS[[#This Row],[N°]:[heures annuelles
selon contrat(s)]])=0,"",REVEX!$E$9)</f>
        <v/>
      </c>
      <c r="AI329" s="73" t="str">
        <f>IF(CCTSAS[[#This Row],[Allocation fonctions]]="","",IF(ISNA(VLOOKUP(CCTSAS[[#This Row],[Allocation fonctions]],'Variable et Dropdowns'!H324:H340,1,FALSE))=TRUE,"Veuillez utiliser les allocations parmis la liste déroulante.",""))</f>
        <v/>
      </c>
    </row>
    <row r="330" spans="1:35" x14ac:dyDescent="0.25">
      <c r="A330" s="73" t="str">
        <f>IF(CCTSAS[[#This Row],[Carrière]]="","",IF(ISNA(VLOOKUP(CCTSAS[[#This Row],[Carrière]],DROPDOWN[Dropdown9],1,FALSE))=TRUE,"Carrière: Utiliser la liste déroulante",""))</f>
        <v/>
      </c>
      <c r="B330" s="8"/>
      <c r="C330" s="8"/>
      <c r="D330" s="8"/>
      <c r="E330" s="21"/>
      <c r="F330" s="64"/>
      <c r="G330" s="8"/>
      <c r="H330" s="8"/>
      <c r="I330" s="10"/>
      <c r="J330" s="10"/>
      <c r="K330" s="9"/>
      <c r="L330" s="9"/>
      <c r="M330" s="9"/>
      <c r="N330"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30" s="9"/>
      <c r="P330" s="9"/>
      <c r="Q330" s="8"/>
      <c r="R330" s="38"/>
      <c r="S330" s="38"/>
      <c r="T330" s="38"/>
      <c r="U330" s="38"/>
      <c r="V330" s="38"/>
      <c r="W330" s="38"/>
      <c r="X330" s="38"/>
      <c r="Y330"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30" s="38"/>
      <c r="AA330"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30" s="8"/>
      <c r="AC330" s="203"/>
      <c r="AD330"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30"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30" s="503"/>
      <c r="AG330" s="44"/>
      <c r="AH330" s="189" t="str">
        <f>IF(COUNTA(CCTSAS[[#This Row],[N°]:[heures annuelles
selon contrat(s)]])=0,"",REVEX!$E$9)</f>
        <v/>
      </c>
      <c r="AI330" s="73" t="str">
        <f>IF(CCTSAS[[#This Row],[Allocation fonctions]]="","",IF(ISNA(VLOOKUP(CCTSAS[[#This Row],[Allocation fonctions]],'Variable et Dropdowns'!H325:H341,1,FALSE))=TRUE,"Veuillez utiliser les allocations parmis la liste déroulante.",""))</f>
        <v/>
      </c>
    </row>
    <row r="331" spans="1:35" x14ac:dyDescent="0.25">
      <c r="A331" s="73" t="str">
        <f>IF(CCTSAS[[#This Row],[Carrière]]="","",IF(ISNA(VLOOKUP(CCTSAS[[#This Row],[Carrière]],DROPDOWN[Dropdown9],1,FALSE))=TRUE,"Carrière: Utiliser la liste déroulante",""))</f>
        <v/>
      </c>
      <c r="B331" s="8"/>
      <c r="C331" s="8"/>
      <c r="D331" s="8"/>
      <c r="E331" s="21"/>
      <c r="F331" s="64"/>
      <c r="G331" s="8"/>
      <c r="H331" s="8"/>
      <c r="I331" s="10"/>
      <c r="J331" s="10"/>
      <c r="K331" s="9"/>
      <c r="L331" s="9"/>
      <c r="M331" s="9"/>
      <c r="N331"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31" s="9"/>
      <c r="P331" s="9"/>
      <c r="Q331" s="8"/>
      <c r="R331" s="38"/>
      <c r="S331" s="38"/>
      <c r="T331" s="38"/>
      <c r="U331" s="38"/>
      <c r="V331" s="38"/>
      <c r="W331" s="38"/>
      <c r="X331" s="38"/>
      <c r="Y331"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31" s="38"/>
      <c r="AA331"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31" s="8"/>
      <c r="AC331" s="203"/>
      <c r="AD331"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31"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31" s="503"/>
      <c r="AG331" s="44"/>
      <c r="AH331" s="189" t="str">
        <f>IF(COUNTA(CCTSAS[[#This Row],[N°]:[heures annuelles
selon contrat(s)]])=0,"",REVEX!$E$9)</f>
        <v/>
      </c>
      <c r="AI331" s="73" t="str">
        <f>IF(CCTSAS[[#This Row],[Allocation fonctions]]="","",IF(ISNA(VLOOKUP(CCTSAS[[#This Row],[Allocation fonctions]],'Variable et Dropdowns'!H326:H342,1,FALSE))=TRUE,"Veuillez utiliser les allocations parmis la liste déroulante.",""))</f>
        <v/>
      </c>
    </row>
    <row r="332" spans="1:35" x14ac:dyDescent="0.25">
      <c r="A332" s="73" t="str">
        <f>IF(CCTSAS[[#This Row],[Carrière]]="","",IF(ISNA(VLOOKUP(CCTSAS[[#This Row],[Carrière]],DROPDOWN[Dropdown9],1,FALSE))=TRUE,"Carrière: Utiliser la liste déroulante",""))</f>
        <v/>
      </c>
      <c r="B332" s="8"/>
      <c r="C332" s="8"/>
      <c r="D332" s="8"/>
      <c r="E332" s="21"/>
      <c r="F332" s="64"/>
      <c r="G332" s="8"/>
      <c r="H332" s="8"/>
      <c r="I332" s="10"/>
      <c r="J332" s="10"/>
      <c r="K332" s="9"/>
      <c r="L332" s="9"/>
      <c r="M332" s="9"/>
      <c r="N332"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32" s="9"/>
      <c r="P332" s="9"/>
      <c r="Q332" s="8"/>
      <c r="R332" s="38"/>
      <c r="S332" s="38"/>
      <c r="T332" s="38"/>
      <c r="U332" s="38"/>
      <c r="V332" s="38"/>
      <c r="W332" s="38"/>
      <c r="X332" s="38"/>
      <c r="Y332"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32" s="38"/>
      <c r="AA332"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32" s="8"/>
      <c r="AC332" s="203"/>
      <c r="AD332"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32"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32" s="503"/>
      <c r="AG332" s="44"/>
      <c r="AH332" s="189" t="str">
        <f>IF(COUNTA(CCTSAS[[#This Row],[N°]:[heures annuelles
selon contrat(s)]])=0,"",REVEX!$E$9)</f>
        <v/>
      </c>
      <c r="AI332" s="73" t="str">
        <f>IF(CCTSAS[[#This Row],[Allocation fonctions]]="","",IF(ISNA(VLOOKUP(CCTSAS[[#This Row],[Allocation fonctions]],'Variable et Dropdowns'!H327:H343,1,FALSE))=TRUE,"Veuillez utiliser les allocations parmis la liste déroulante.",""))</f>
        <v/>
      </c>
    </row>
    <row r="333" spans="1:35" x14ac:dyDescent="0.25">
      <c r="A333" s="73" t="str">
        <f>IF(CCTSAS[[#This Row],[Carrière]]="","",IF(ISNA(VLOOKUP(CCTSAS[[#This Row],[Carrière]],DROPDOWN[Dropdown9],1,FALSE))=TRUE,"Carrière: Utiliser la liste déroulante",""))</f>
        <v/>
      </c>
      <c r="B333" s="8"/>
      <c r="C333" s="8"/>
      <c r="D333" s="8"/>
      <c r="E333" s="21"/>
      <c r="F333" s="64"/>
      <c r="G333" s="8"/>
      <c r="H333" s="8"/>
      <c r="I333" s="10"/>
      <c r="J333" s="10"/>
      <c r="K333" s="9"/>
      <c r="L333" s="9"/>
      <c r="M333" s="9"/>
      <c r="N333"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33" s="9"/>
      <c r="P333" s="9"/>
      <c r="Q333" s="8"/>
      <c r="R333" s="38"/>
      <c r="S333" s="38"/>
      <c r="T333" s="38"/>
      <c r="U333" s="38"/>
      <c r="V333" s="38"/>
      <c r="W333" s="38"/>
      <c r="X333" s="38"/>
      <c r="Y333"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33" s="38"/>
      <c r="AA333"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33" s="8"/>
      <c r="AC333" s="203"/>
      <c r="AD333"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33"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33" s="503"/>
      <c r="AG333" s="44"/>
      <c r="AH333" s="189" t="str">
        <f>IF(COUNTA(CCTSAS[[#This Row],[N°]:[heures annuelles
selon contrat(s)]])=0,"",REVEX!$E$9)</f>
        <v/>
      </c>
      <c r="AI333" s="73" t="str">
        <f>IF(CCTSAS[[#This Row],[Allocation fonctions]]="","",IF(ISNA(VLOOKUP(CCTSAS[[#This Row],[Allocation fonctions]],'Variable et Dropdowns'!H328:H344,1,FALSE))=TRUE,"Veuillez utiliser les allocations parmis la liste déroulante.",""))</f>
        <v/>
      </c>
    </row>
    <row r="334" spans="1:35" x14ac:dyDescent="0.25">
      <c r="A334" s="73" t="str">
        <f>IF(CCTSAS[[#This Row],[Carrière]]="","",IF(ISNA(VLOOKUP(CCTSAS[[#This Row],[Carrière]],DROPDOWN[Dropdown9],1,FALSE))=TRUE,"Carrière: Utiliser la liste déroulante",""))</f>
        <v/>
      </c>
      <c r="B334" s="8"/>
      <c r="C334" s="8"/>
      <c r="D334" s="8"/>
      <c r="E334" s="21"/>
      <c r="F334" s="64"/>
      <c r="G334" s="8"/>
      <c r="H334" s="8"/>
      <c r="I334" s="10"/>
      <c r="J334" s="10"/>
      <c r="K334" s="9"/>
      <c r="L334" s="9"/>
      <c r="M334" s="9"/>
      <c r="N334"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34" s="9"/>
      <c r="P334" s="9"/>
      <c r="Q334" s="8"/>
      <c r="R334" s="38"/>
      <c r="S334" s="38"/>
      <c r="T334" s="38"/>
      <c r="U334" s="38"/>
      <c r="V334" s="38"/>
      <c r="W334" s="38"/>
      <c r="X334" s="38"/>
      <c r="Y334"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34" s="38"/>
      <c r="AA334"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34" s="8"/>
      <c r="AC334" s="203"/>
      <c r="AD334"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34"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34" s="503"/>
      <c r="AG334" s="44"/>
      <c r="AH334" s="189" t="str">
        <f>IF(COUNTA(CCTSAS[[#This Row],[N°]:[heures annuelles
selon contrat(s)]])=0,"",REVEX!$E$9)</f>
        <v/>
      </c>
      <c r="AI334" s="73" t="str">
        <f>IF(CCTSAS[[#This Row],[Allocation fonctions]]="","",IF(ISNA(VLOOKUP(CCTSAS[[#This Row],[Allocation fonctions]],'Variable et Dropdowns'!H329:H345,1,FALSE))=TRUE,"Veuillez utiliser les allocations parmis la liste déroulante.",""))</f>
        <v/>
      </c>
    </row>
    <row r="335" spans="1:35" x14ac:dyDescent="0.25">
      <c r="A335" s="73" t="str">
        <f>IF(CCTSAS[[#This Row],[Carrière]]="","",IF(ISNA(VLOOKUP(CCTSAS[[#This Row],[Carrière]],DROPDOWN[Dropdown9],1,FALSE))=TRUE,"Carrière: Utiliser la liste déroulante",""))</f>
        <v/>
      </c>
      <c r="B335" s="8"/>
      <c r="C335" s="8"/>
      <c r="D335" s="8"/>
      <c r="E335" s="21"/>
      <c r="F335" s="64"/>
      <c r="G335" s="8"/>
      <c r="H335" s="8"/>
      <c r="I335" s="10"/>
      <c r="J335" s="10"/>
      <c r="K335" s="9"/>
      <c r="L335" s="9"/>
      <c r="M335" s="9"/>
      <c r="N335"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35" s="9"/>
      <c r="P335" s="9"/>
      <c r="Q335" s="8"/>
      <c r="R335" s="38"/>
      <c r="S335" s="38"/>
      <c r="T335" s="38"/>
      <c r="U335" s="38"/>
      <c r="V335" s="38"/>
      <c r="W335" s="38"/>
      <c r="X335" s="38"/>
      <c r="Y335"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35" s="38"/>
      <c r="AA335"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35" s="8"/>
      <c r="AC335" s="203"/>
      <c r="AD335"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35"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35" s="503"/>
      <c r="AG335" s="44"/>
      <c r="AH335" s="189" t="str">
        <f>IF(COUNTA(CCTSAS[[#This Row],[N°]:[heures annuelles
selon contrat(s)]])=0,"",REVEX!$E$9)</f>
        <v/>
      </c>
      <c r="AI335" s="73" t="str">
        <f>IF(CCTSAS[[#This Row],[Allocation fonctions]]="","",IF(ISNA(VLOOKUP(CCTSAS[[#This Row],[Allocation fonctions]],'Variable et Dropdowns'!H330:H346,1,FALSE))=TRUE,"Veuillez utiliser les allocations parmis la liste déroulante.",""))</f>
        <v/>
      </c>
    </row>
    <row r="336" spans="1:35" x14ac:dyDescent="0.25">
      <c r="A336" s="73" t="str">
        <f>IF(CCTSAS[[#This Row],[Carrière]]="","",IF(ISNA(VLOOKUP(CCTSAS[[#This Row],[Carrière]],DROPDOWN[Dropdown9],1,FALSE))=TRUE,"Carrière: Utiliser la liste déroulante",""))</f>
        <v/>
      </c>
      <c r="B336" s="8"/>
      <c r="C336" s="8"/>
      <c r="D336" s="8"/>
      <c r="E336" s="21"/>
      <c r="F336" s="64"/>
      <c r="G336" s="8"/>
      <c r="H336" s="8"/>
      <c r="I336" s="10"/>
      <c r="J336" s="10"/>
      <c r="K336" s="9"/>
      <c r="L336" s="9"/>
      <c r="M336" s="9"/>
      <c r="N336"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36" s="9"/>
      <c r="P336" s="9"/>
      <c r="Q336" s="8"/>
      <c r="R336" s="38"/>
      <c r="S336" s="38"/>
      <c r="T336" s="38"/>
      <c r="U336" s="38"/>
      <c r="V336" s="38"/>
      <c r="W336" s="38"/>
      <c r="X336" s="38"/>
      <c r="Y336"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36" s="38"/>
      <c r="AA336"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36" s="8"/>
      <c r="AC336" s="203"/>
      <c r="AD336"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36"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36" s="503"/>
      <c r="AG336" s="44"/>
      <c r="AH336" s="189" t="str">
        <f>IF(COUNTA(CCTSAS[[#This Row],[N°]:[heures annuelles
selon contrat(s)]])=0,"",REVEX!$E$9)</f>
        <v/>
      </c>
      <c r="AI336" s="73" t="str">
        <f>IF(CCTSAS[[#This Row],[Allocation fonctions]]="","",IF(ISNA(VLOOKUP(CCTSAS[[#This Row],[Allocation fonctions]],'Variable et Dropdowns'!H331:H347,1,FALSE))=TRUE,"Veuillez utiliser les allocations parmis la liste déroulante.",""))</f>
        <v/>
      </c>
    </row>
    <row r="337" spans="1:35" x14ac:dyDescent="0.25">
      <c r="A337" s="73" t="str">
        <f>IF(CCTSAS[[#This Row],[Carrière]]="","",IF(ISNA(VLOOKUP(CCTSAS[[#This Row],[Carrière]],DROPDOWN[Dropdown9],1,FALSE))=TRUE,"Carrière: Utiliser la liste déroulante",""))</f>
        <v/>
      </c>
      <c r="B337" s="8"/>
      <c r="C337" s="8"/>
      <c r="D337" s="8"/>
      <c r="E337" s="21"/>
      <c r="F337" s="64"/>
      <c r="G337" s="8"/>
      <c r="H337" s="8"/>
      <c r="I337" s="10"/>
      <c r="J337" s="10"/>
      <c r="K337" s="9"/>
      <c r="L337" s="9"/>
      <c r="M337" s="9"/>
      <c r="N337"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37" s="9"/>
      <c r="P337" s="9"/>
      <c r="Q337" s="8"/>
      <c r="R337" s="38"/>
      <c r="S337" s="38"/>
      <c r="T337" s="38"/>
      <c r="U337" s="38"/>
      <c r="V337" s="38"/>
      <c r="W337" s="38"/>
      <c r="X337" s="38"/>
      <c r="Y337"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37" s="38"/>
      <c r="AA337"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37" s="8"/>
      <c r="AC337" s="203"/>
      <c r="AD337"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37"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37" s="503"/>
      <c r="AG337" s="44"/>
      <c r="AH337" s="189" t="str">
        <f>IF(COUNTA(CCTSAS[[#This Row],[N°]:[heures annuelles
selon contrat(s)]])=0,"",REVEX!$E$9)</f>
        <v/>
      </c>
      <c r="AI337" s="73" t="str">
        <f>IF(CCTSAS[[#This Row],[Allocation fonctions]]="","",IF(ISNA(VLOOKUP(CCTSAS[[#This Row],[Allocation fonctions]],'Variable et Dropdowns'!H332:H348,1,FALSE))=TRUE,"Veuillez utiliser les allocations parmis la liste déroulante.",""))</f>
        <v/>
      </c>
    </row>
    <row r="338" spans="1:35" x14ac:dyDescent="0.25">
      <c r="A338" s="73" t="str">
        <f>IF(CCTSAS[[#This Row],[Carrière]]="","",IF(ISNA(VLOOKUP(CCTSAS[[#This Row],[Carrière]],DROPDOWN[Dropdown9],1,FALSE))=TRUE,"Carrière: Utiliser la liste déroulante",""))</f>
        <v/>
      </c>
      <c r="B338" s="8"/>
      <c r="C338" s="8"/>
      <c r="D338" s="8"/>
      <c r="E338" s="21"/>
      <c r="F338" s="64"/>
      <c r="G338" s="8"/>
      <c r="H338" s="8"/>
      <c r="I338" s="10"/>
      <c r="J338" s="10"/>
      <c r="K338" s="9"/>
      <c r="L338" s="9"/>
      <c r="M338" s="9"/>
      <c r="N338"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38" s="9"/>
      <c r="P338" s="9"/>
      <c r="Q338" s="8"/>
      <c r="R338" s="38"/>
      <c r="S338" s="38"/>
      <c r="T338" s="38"/>
      <c r="U338" s="38"/>
      <c r="V338" s="38"/>
      <c r="W338" s="38"/>
      <c r="X338" s="38"/>
      <c r="Y338"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38" s="38"/>
      <c r="AA338"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38" s="8"/>
      <c r="AC338" s="203"/>
      <c r="AD338"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38"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38" s="503"/>
      <c r="AG338" s="44"/>
      <c r="AH338" s="189" t="str">
        <f>IF(COUNTA(CCTSAS[[#This Row],[N°]:[heures annuelles
selon contrat(s)]])=0,"",REVEX!$E$9)</f>
        <v/>
      </c>
      <c r="AI338" s="73" t="str">
        <f>IF(CCTSAS[[#This Row],[Allocation fonctions]]="","",IF(ISNA(VLOOKUP(CCTSAS[[#This Row],[Allocation fonctions]],'Variable et Dropdowns'!H333:H349,1,FALSE))=TRUE,"Veuillez utiliser les allocations parmis la liste déroulante.",""))</f>
        <v/>
      </c>
    </row>
    <row r="339" spans="1:35" x14ac:dyDescent="0.25">
      <c r="A339" s="73" t="str">
        <f>IF(CCTSAS[[#This Row],[Carrière]]="","",IF(ISNA(VLOOKUP(CCTSAS[[#This Row],[Carrière]],DROPDOWN[Dropdown9],1,FALSE))=TRUE,"Carrière: Utiliser la liste déroulante",""))</f>
        <v/>
      </c>
      <c r="B339" s="8"/>
      <c r="C339" s="8"/>
      <c r="D339" s="8"/>
      <c r="E339" s="21"/>
      <c r="F339" s="64"/>
      <c r="G339" s="8"/>
      <c r="H339" s="8"/>
      <c r="I339" s="10"/>
      <c r="J339" s="10"/>
      <c r="K339" s="9"/>
      <c r="L339" s="9"/>
      <c r="M339" s="9"/>
      <c r="N339"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39" s="9"/>
      <c r="P339" s="9"/>
      <c r="Q339" s="8"/>
      <c r="R339" s="38"/>
      <c r="S339" s="38"/>
      <c r="T339" s="38"/>
      <c r="U339" s="38"/>
      <c r="V339" s="38"/>
      <c r="W339" s="38"/>
      <c r="X339" s="38"/>
      <c r="Y339"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39" s="38"/>
      <c r="AA339"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39" s="8"/>
      <c r="AC339" s="203"/>
      <c r="AD339"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39"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39" s="503"/>
      <c r="AG339" s="44"/>
      <c r="AH339" s="189" t="str">
        <f>IF(COUNTA(CCTSAS[[#This Row],[N°]:[heures annuelles
selon contrat(s)]])=0,"",REVEX!$E$9)</f>
        <v/>
      </c>
      <c r="AI339" s="73" t="str">
        <f>IF(CCTSAS[[#This Row],[Allocation fonctions]]="","",IF(ISNA(VLOOKUP(CCTSAS[[#This Row],[Allocation fonctions]],'Variable et Dropdowns'!H334:H350,1,FALSE))=TRUE,"Veuillez utiliser les allocations parmis la liste déroulante.",""))</f>
        <v/>
      </c>
    </row>
    <row r="340" spans="1:35" x14ac:dyDescent="0.25">
      <c r="A340" s="73" t="str">
        <f>IF(CCTSAS[[#This Row],[Carrière]]="","",IF(ISNA(VLOOKUP(CCTSAS[[#This Row],[Carrière]],DROPDOWN[Dropdown9],1,FALSE))=TRUE,"Carrière: Utiliser la liste déroulante",""))</f>
        <v/>
      </c>
      <c r="B340" s="8"/>
      <c r="C340" s="8"/>
      <c r="D340" s="8"/>
      <c r="E340" s="21"/>
      <c r="F340" s="64"/>
      <c r="G340" s="8"/>
      <c r="H340" s="8"/>
      <c r="I340" s="10"/>
      <c r="J340" s="10"/>
      <c r="K340" s="9"/>
      <c r="L340" s="9"/>
      <c r="M340" s="9"/>
      <c r="N340"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40" s="9"/>
      <c r="P340" s="9"/>
      <c r="Q340" s="8"/>
      <c r="R340" s="38"/>
      <c r="S340" s="38"/>
      <c r="T340" s="38"/>
      <c r="U340" s="38"/>
      <c r="V340" s="38"/>
      <c r="W340" s="38"/>
      <c r="X340" s="38"/>
      <c r="Y340"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40" s="38"/>
      <c r="AA340"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40" s="8"/>
      <c r="AC340" s="203"/>
      <c r="AD340"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40"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40" s="503"/>
      <c r="AG340" s="44"/>
      <c r="AH340" s="189" t="str">
        <f>IF(COUNTA(CCTSAS[[#This Row],[N°]:[heures annuelles
selon contrat(s)]])=0,"",REVEX!$E$9)</f>
        <v/>
      </c>
      <c r="AI340" s="73" t="str">
        <f>IF(CCTSAS[[#This Row],[Allocation fonctions]]="","",IF(ISNA(VLOOKUP(CCTSAS[[#This Row],[Allocation fonctions]],'Variable et Dropdowns'!H335:H351,1,FALSE))=TRUE,"Veuillez utiliser les allocations parmis la liste déroulante.",""))</f>
        <v/>
      </c>
    </row>
    <row r="341" spans="1:35" x14ac:dyDescent="0.25">
      <c r="A341" s="73" t="str">
        <f>IF(CCTSAS[[#This Row],[Carrière]]="","",IF(ISNA(VLOOKUP(CCTSAS[[#This Row],[Carrière]],DROPDOWN[Dropdown9],1,FALSE))=TRUE,"Carrière: Utiliser la liste déroulante",""))</f>
        <v/>
      </c>
      <c r="B341" s="8"/>
      <c r="C341" s="8"/>
      <c r="D341" s="8"/>
      <c r="E341" s="21"/>
      <c r="F341" s="64"/>
      <c r="G341" s="8"/>
      <c r="H341" s="8"/>
      <c r="I341" s="10"/>
      <c r="J341" s="10"/>
      <c r="K341" s="9"/>
      <c r="L341" s="9"/>
      <c r="M341" s="9"/>
      <c r="N341"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41" s="9"/>
      <c r="P341" s="9"/>
      <c r="Q341" s="8"/>
      <c r="R341" s="38"/>
      <c r="S341" s="38"/>
      <c r="T341" s="38"/>
      <c r="U341" s="38"/>
      <c r="V341" s="38"/>
      <c r="W341" s="38"/>
      <c r="X341" s="38"/>
      <c r="Y341"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41" s="38"/>
      <c r="AA341"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41" s="8"/>
      <c r="AC341" s="203"/>
      <c r="AD341"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41"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41" s="503"/>
      <c r="AG341" s="44"/>
      <c r="AH341" s="189" t="str">
        <f>IF(COUNTA(CCTSAS[[#This Row],[N°]:[heures annuelles
selon contrat(s)]])=0,"",REVEX!$E$9)</f>
        <v/>
      </c>
      <c r="AI341" s="73" t="str">
        <f>IF(CCTSAS[[#This Row],[Allocation fonctions]]="","",IF(ISNA(VLOOKUP(CCTSAS[[#This Row],[Allocation fonctions]],'Variable et Dropdowns'!H336:H352,1,FALSE))=TRUE,"Veuillez utiliser les allocations parmis la liste déroulante.",""))</f>
        <v/>
      </c>
    </row>
    <row r="342" spans="1:35" x14ac:dyDescent="0.25">
      <c r="A342" s="73" t="str">
        <f>IF(CCTSAS[[#This Row],[Carrière]]="","",IF(ISNA(VLOOKUP(CCTSAS[[#This Row],[Carrière]],DROPDOWN[Dropdown9],1,FALSE))=TRUE,"Carrière: Utiliser la liste déroulante",""))</f>
        <v/>
      </c>
      <c r="B342" s="8"/>
      <c r="C342" s="8"/>
      <c r="D342" s="8"/>
      <c r="E342" s="21"/>
      <c r="F342" s="64"/>
      <c r="G342" s="8"/>
      <c r="H342" s="8"/>
      <c r="I342" s="10"/>
      <c r="J342" s="10"/>
      <c r="K342" s="9"/>
      <c r="L342" s="9"/>
      <c r="M342" s="9"/>
      <c r="N342"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42" s="9"/>
      <c r="P342" s="9"/>
      <c r="Q342" s="8"/>
      <c r="R342" s="38"/>
      <c r="S342" s="38"/>
      <c r="T342" s="38"/>
      <c r="U342" s="38"/>
      <c r="V342" s="38"/>
      <c r="W342" s="38"/>
      <c r="X342" s="38"/>
      <c r="Y342"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42" s="38"/>
      <c r="AA342"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42" s="8"/>
      <c r="AC342" s="203"/>
      <c r="AD342"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42"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42" s="503"/>
      <c r="AG342" s="44"/>
      <c r="AH342" s="189" t="str">
        <f>IF(COUNTA(CCTSAS[[#This Row],[N°]:[heures annuelles
selon contrat(s)]])=0,"",REVEX!$E$9)</f>
        <v/>
      </c>
      <c r="AI342" s="73" t="str">
        <f>IF(CCTSAS[[#This Row],[Allocation fonctions]]="","",IF(ISNA(VLOOKUP(CCTSAS[[#This Row],[Allocation fonctions]],'Variable et Dropdowns'!H337:H353,1,FALSE))=TRUE,"Veuillez utiliser les allocations parmis la liste déroulante.",""))</f>
        <v/>
      </c>
    </row>
    <row r="343" spans="1:35" x14ac:dyDescent="0.25">
      <c r="A343" s="73" t="str">
        <f>IF(CCTSAS[[#This Row],[Carrière]]="","",IF(ISNA(VLOOKUP(CCTSAS[[#This Row],[Carrière]],DROPDOWN[Dropdown9],1,FALSE))=TRUE,"Carrière: Utiliser la liste déroulante",""))</f>
        <v/>
      </c>
      <c r="B343" s="8"/>
      <c r="C343" s="8"/>
      <c r="D343" s="8"/>
      <c r="E343" s="21"/>
      <c r="F343" s="64"/>
      <c r="G343" s="8"/>
      <c r="H343" s="8"/>
      <c r="I343" s="10"/>
      <c r="J343" s="10"/>
      <c r="K343" s="9"/>
      <c r="L343" s="9"/>
      <c r="M343" s="9"/>
      <c r="N343"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43" s="9"/>
      <c r="P343" s="9"/>
      <c r="Q343" s="8"/>
      <c r="R343" s="38"/>
      <c r="S343" s="38"/>
      <c r="T343" s="38"/>
      <c r="U343" s="38"/>
      <c r="V343" s="38"/>
      <c r="W343" s="38"/>
      <c r="X343" s="38"/>
      <c r="Y343"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43" s="38"/>
      <c r="AA343"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43" s="8"/>
      <c r="AC343" s="203"/>
      <c r="AD343"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43"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43" s="503"/>
      <c r="AG343" s="44"/>
      <c r="AH343" s="189" t="str">
        <f>IF(COUNTA(CCTSAS[[#This Row],[N°]:[heures annuelles
selon contrat(s)]])=0,"",REVEX!$E$9)</f>
        <v/>
      </c>
      <c r="AI343" s="73" t="str">
        <f>IF(CCTSAS[[#This Row],[Allocation fonctions]]="","",IF(ISNA(VLOOKUP(CCTSAS[[#This Row],[Allocation fonctions]],'Variable et Dropdowns'!H338:H354,1,FALSE))=TRUE,"Veuillez utiliser les allocations parmis la liste déroulante.",""))</f>
        <v/>
      </c>
    </row>
    <row r="344" spans="1:35" x14ac:dyDescent="0.25">
      <c r="A344" s="73" t="str">
        <f>IF(CCTSAS[[#This Row],[Carrière]]="","",IF(ISNA(VLOOKUP(CCTSAS[[#This Row],[Carrière]],DROPDOWN[Dropdown9],1,FALSE))=TRUE,"Carrière: Utiliser la liste déroulante",""))</f>
        <v/>
      </c>
      <c r="B344" s="8"/>
      <c r="C344" s="8"/>
      <c r="D344" s="8"/>
      <c r="E344" s="21"/>
      <c r="F344" s="64"/>
      <c r="G344" s="8"/>
      <c r="H344" s="8"/>
      <c r="I344" s="10"/>
      <c r="J344" s="10"/>
      <c r="K344" s="9"/>
      <c r="L344" s="9"/>
      <c r="M344" s="9"/>
      <c r="N344"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44" s="9"/>
      <c r="P344" s="9"/>
      <c r="Q344" s="8"/>
      <c r="R344" s="38"/>
      <c r="S344" s="38"/>
      <c r="T344" s="38"/>
      <c r="U344" s="38"/>
      <c r="V344" s="38"/>
      <c r="W344" s="38"/>
      <c r="X344" s="38"/>
      <c r="Y344"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44" s="38"/>
      <c r="AA344"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44" s="8"/>
      <c r="AC344" s="203"/>
      <c r="AD344"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44"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44" s="503"/>
      <c r="AG344" s="44"/>
      <c r="AH344" s="189" t="str">
        <f>IF(COUNTA(CCTSAS[[#This Row],[N°]:[heures annuelles
selon contrat(s)]])=0,"",REVEX!$E$9)</f>
        <v/>
      </c>
      <c r="AI344" s="73" t="str">
        <f>IF(CCTSAS[[#This Row],[Allocation fonctions]]="","",IF(ISNA(VLOOKUP(CCTSAS[[#This Row],[Allocation fonctions]],'Variable et Dropdowns'!H339:H355,1,FALSE))=TRUE,"Veuillez utiliser les allocations parmis la liste déroulante.",""))</f>
        <v/>
      </c>
    </row>
    <row r="345" spans="1:35" x14ac:dyDescent="0.25">
      <c r="A345" s="73" t="str">
        <f>IF(CCTSAS[[#This Row],[Carrière]]="","",IF(ISNA(VLOOKUP(CCTSAS[[#This Row],[Carrière]],DROPDOWN[Dropdown9],1,FALSE))=TRUE,"Carrière: Utiliser la liste déroulante",""))</f>
        <v/>
      </c>
      <c r="B345" s="8"/>
      <c r="C345" s="8"/>
      <c r="D345" s="8"/>
      <c r="E345" s="21"/>
      <c r="F345" s="64"/>
      <c r="G345" s="8"/>
      <c r="H345" s="8"/>
      <c r="I345" s="10"/>
      <c r="J345" s="10"/>
      <c r="K345" s="9"/>
      <c r="L345" s="9"/>
      <c r="M345" s="9"/>
      <c r="N345"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45" s="9"/>
      <c r="P345" s="9"/>
      <c r="Q345" s="8"/>
      <c r="R345" s="38"/>
      <c r="S345" s="38"/>
      <c r="T345" s="38"/>
      <c r="U345" s="38"/>
      <c r="V345" s="38"/>
      <c r="W345" s="38"/>
      <c r="X345" s="38"/>
      <c r="Y345"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45" s="38"/>
      <c r="AA345"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45" s="8"/>
      <c r="AC345" s="203"/>
      <c r="AD345"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45"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45" s="503"/>
      <c r="AG345" s="44"/>
      <c r="AH345" s="189" t="str">
        <f>IF(COUNTA(CCTSAS[[#This Row],[N°]:[heures annuelles
selon contrat(s)]])=0,"",REVEX!$E$9)</f>
        <v/>
      </c>
      <c r="AI345" s="73" t="str">
        <f>IF(CCTSAS[[#This Row],[Allocation fonctions]]="","",IF(ISNA(VLOOKUP(CCTSAS[[#This Row],[Allocation fonctions]],'Variable et Dropdowns'!H340:H356,1,FALSE))=TRUE,"Veuillez utiliser les allocations parmis la liste déroulante.",""))</f>
        <v/>
      </c>
    </row>
    <row r="346" spans="1:35" x14ac:dyDescent="0.25">
      <c r="A346" s="73" t="str">
        <f>IF(CCTSAS[[#This Row],[Carrière]]="","",IF(ISNA(VLOOKUP(CCTSAS[[#This Row],[Carrière]],DROPDOWN[Dropdown9],1,FALSE))=TRUE,"Carrière: Utiliser la liste déroulante",""))</f>
        <v/>
      </c>
      <c r="B346" s="8"/>
      <c r="C346" s="8"/>
      <c r="D346" s="8"/>
      <c r="E346" s="21"/>
      <c r="F346" s="64"/>
      <c r="G346" s="8"/>
      <c r="H346" s="8"/>
      <c r="I346" s="10"/>
      <c r="J346" s="10"/>
      <c r="K346" s="9"/>
      <c r="L346" s="9"/>
      <c r="M346" s="9"/>
      <c r="N346"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46" s="9"/>
      <c r="P346" s="9"/>
      <c r="Q346" s="8"/>
      <c r="R346" s="38"/>
      <c r="S346" s="38"/>
      <c r="T346" s="38"/>
      <c r="U346" s="38"/>
      <c r="V346" s="38"/>
      <c r="W346" s="38"/>
      <c r="X346" s="38"/>
      <c r="Y346"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46" s="38"/>
      <c r="AA346"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46" s="8"/>
      <c r="AC346" s="203"/>
      <c r="AD346"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46"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46" s="503"/>
      <c r="AG346" s="44"/>
      <c r="AH346" s="189" t="str">
        <f>IF(COUNTA(CCTSAS[[#This Row],[N°]:[heures annuelles
selon contrat(s)]])=0,"",REVEX!$E$9)</f>
        <v/>
      </c>
      <c r="AI346" s="73" t="str">
        <f>IF(CCTSAS[[#This Row],[Allocation fonctions]]="","",IF(ISNA(VLOOKUP(CCTSAS[[#This Row],[Allocation fonctions]],'Variable et Dropdowns'!H341:H357,1,FALSE))=TRUE,"Veuillez utiliser les allocations parmis la liste déroulante.",""))</f>
        <v/>
      </c>
    </row>
    <row r="347" spans="1:35" x14ac:dyDescent="0.25">
      <c r="A347" s="73" t="str">
        <f>IF(CCTSAS[[#This Row],[Carrière]]="","",IF(ISNA(VLOOKUP(CCTSAS[[#This Row],[Carrière]],DROPDOWN[Dropdown9],1,FALSE))=TRUE,"Carrière: Utiliser la liste déroulante",""))</f>
        <v/>
      </c>
      <c r="B347" s="8"/>
      <c r="C347" s="8"/>
      <c r="D347" s="8"/>
      <c r="E347" s="21"/>
      <c r="F347" s="64"/>
      <c r="G347" s="8"/>
      <c r="H347" s="8"/>
      <c r="I347" s="10"/>
      <c r="J347" s="10"/>
      <c r="K347" s="9"/>
      <c r="L347" s="9"/>
      <c r="M347" s="9"/>
      <c r="N347"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47" s="9"/>
      <c r="P347" s="9"/>
      <c r="Q347" s="8"/>
      <c r="R347" s="38"/>
      <c r="S347" s="38"/>
      <c r="T347" s="38"/>
      <c r="U347" s="38"/>
      <c r="V347" s="38"/>
      <c r="W347" s="38"/>
      <c r="X347" s="38"/>
      <c r="Y347"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47" s="38"/>
      <c r="AA347"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47" s="8"/>
      <c r="AC347" s="203"/>
      <c r="AD347"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47"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47" s="503"/>
      <c r="AG347" s="44"/>
      <c r="AH347" s="189" t="str">
        <f>IF(COUNTA(CCTSAS[[#This Row],[N°]:[heures annuelles
selon contrat(s)]])=0,"",REVEX!$E$9)</f>
        <v/>
      </c>
      <c r="AI347" s="73" t="str">
        <f>IF(CCTSAS[[#This Row],[Allocation fonctions]]="","",IF(ISNA(VLOOKUP(CCTSAS[[#This Row],[Allocation fonctions]],'Variable et Dropdowns'!H342:H358,1,FALSE))=TRUE,"Veuillez utiliser les allocations parmis la liste déroulante.",""))</f>
        <v/>
      </c>
    </row>
    <row r="348" spans="1:35" x14ac:dyDescent="0.25">
      <c r="A348" s="73" t="str">
        <f>IF(CCTSAS[[#This Row],[Carrière]]="","",IF(ISNA(VLOOKUP(CCTSAS[[#This Row],[Carrière]],DROPDOWN[Dropdown9],1,FALSE))=TRUE,"Carrière: Utiliser la liste déroulante",""))</f>
        <v/>
      </c>
      <c r="B348" s="8"/>
      <c r="C348" s="8"/>
      <c r="D348" s="8"/>
      <c r="E348" s="21"/>
      <c r="F348" s="64"/>
      <c r="G348" s="8"/>
      <c r="H348" s="8"/>
      <c r="I348" s="10"/>
      <c r="J348" s="10"/>
      <c r="K348" s="9"/>
      <c r="L348" s="9"/>
      <c r="M348" s="9"/>
      <c r="N348"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48" s="9"/>
      <c r="P348" s="9"/>
      <c r="Q348" s="8"/>
      <c r="R348" s="38"/>
      <c r="S348" s="38"/>
      <c r="T348" s="38"/>
      <c r="U348" s="38"/>
      <c r="V348" s="38"/>
      <c r="W348" s="38"/>
      <c r="X348" s="38"/>
      <c r="Y348"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48" s="38"/>
      <c r="AA348"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48" s="8"/>
      <c r="AC348" s="203"/>
      <c r="AD348"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48"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48" s="503"/>
      <c r="AG348" s="44"/>
      <c r="AH348" s="189" t="str">
        <f>IF(COUNTA(CCTSAS[[#This Row],[N°]:[heures annuelles
selon contrat(s)]])=0,"",REVEX!$E$9)</f>
        <v/>
      </c>
      <c r="AI348" s="73" t="str">
        <f>IF(CCTSAS[[#This Row],[Allocation fonctions]]="","",IF(ISNA(VLOOKUP(CCTSAS[[#This Row],[Allocation fonctions]],'Variable et Dropdowns'!H343:H359,1,FALSE))=TRUE,"Veuillez utiliser les allocations parmis la liste déroulante.",""))</f>
        <v/>
      </c>
    </row>
    <row r="349" spans="1:35" x14ac:dyDescent="0.25">
      <c r="A349" s="73" t="str">
        <f>IF(CCTSAS[[#This Row],[Carrière]]="","",IF(ISNA(VLOOKUP(CCTSAS[[#This Row],[Carrière]],DROPDOWN[Dropdown9],1,FALSE))=TRUE,"Carrière: Utiliser la liste déroulante",""))</f>
        <v/>
      </c>
      <c r="B349" s="8"/>
      <c r="C349" s="8"/>
      <c r="D349" s="8"/>
      <c r="E349" s="21"/>
      <c r="F349" s="64"/>
      <c r="G349" s="8"/>
      <c r="H349" s="8"/>
      <c r="I349" s="10"/>
      <c r="J349" s="10"/>
      <c r="K349" s="9"/>
      <c r="L349" s="9"/>
      <c r="M349" s="9"/>
      <c r="N349"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49" s="9"/>
      <c r="P349" s="9"/>
      <c r="Q349" s="8"/>
      <c r="R349" s="38"/>
      <c r="S349" s="38"/>
      <c r="T349" s="38"/>
      <c r="U349" s="38"/>
      <c r="V349" s="38"/>
      <c r="W349" s="38"/>
      <c r="X349" s="38"/>
      <c r="Y349"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49" s="38"/>
      <c r="AA349"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49" s="8"/>
      <c r="AC349" s="203"/>
      <c r="AD349"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49"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49" s="503"/>
      <c r="AG349" s="44"/>
      <c r="AH349" s="189" t="str">
        <f>IF(COUNTA(CCTSAS[[#This Row],[N°]:[heures annuelles
selon contrat(s)]])=0,"",REVEX!$E$9)</f>
        <v/>
      </c>
      <c r="AI349" s="73" t="str">
        <f>IF(CCTSAS[[#This Row],[Allocation fonctions]]="","",IF(ISNA(VLOOKUP(CCTSAS[[#This Row],[Allocation fonctions]],'Variable et Dropdowns'!H344:H360,1,FALSE))=TRUE,"Veuillez utiliser les allocations parmis la liste déroulante.",""))</f>
        <v/>
      </c>
    </row>
    <row r="350" spans="1:35" x14ac:dyDescent="0.25">
      <c r="A350" s="73" t="str">
        <f>IF(CCTSAS[[#This Row],[Carrière]]="","",IF(ISNA(VLOOKUP(CCTSAS[[#This Row],[Carrière]],DROPDOWN[Dropdown9],1,FALSE))=TRUE,"Carrière: Utiliser la liste déroulante",""))</f>
        <v/>
      </c>
      <c r="B350" s="8"/>
      <c r="C350" s="8"/>
      <c r="D350" s="8"/>
      <c r="E350" s="21"/>
      <c r="F350" s="64"/>
      <c r="G350" s="8"/>
      <c r="H350" s="8"/>
      <c r="I350" s="10"/>
      <c r="J350" s="10"/>
      <c r="K350" s="9"/>
      <c r="L350" s="9"/>
      <c r="M350" s="9"/>
      <c r="N350"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50" s="9"/>
      <c r="P350" s="9"/>
      <c r="Q350" s="8"/>
      <c r="R350" s="38"/>
      <c r="S350" s="38"/>
      <c r="T350" s="38"/>
      <c r="U350" s="38"/>
      <c r="V350" s="38"/>
      <c r="W350" s="38"/>
      <c r="X350" s="38"/>
      <c r="Y350"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50" s="38"/>
      <c r="AA350"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50" s="8"/>
      <c r="AC350" s="203"/>
      <c r="AD350"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50"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50" s="503"/>
      <c r="AG350" s="44"/>
      <c r="AH350" s="189" t="str">
        <f>IF(COUNTA(CCTSAS[[#This Row],[N°]:[heures annuelles
selon contrat(s)]])=0,"",REVEX!$E$9)</f>
        <v/>
      </c>
      <c r="AI350" s="73" t="str">
        <f>IF(CCTSAS[[#This Row],[Allocation fonctions]]="","",IF(ISNA(VLOOKUP(CCTSAS[[#This Row],[Allocation fonctions]],'Variable et Dropdowns'!H345:H361,1,FALSE))=TRUE,"Veuillez utiliser les allocations parmis la liste déroulante.",""))</f>
        <v/>
      </c>
    </row>
    <row r="351" spans="1:35" x14ac:dyDescent="0.25">
      <c r="A351" s="73" t="str">
        <f>IF(CCTSAS[[#This Row],[Carrière]]="","",IF(ISNA(VLOOKUP(CCTSAS[[#This Row],[Carrière]],DROPDOWN[Dropdown9],1,FALSE))=TRUE,"Carrière: Utiliser la liste déroulante",""))</f>
        <v/>
      </c>
      <c r="B351" s="8"/>
      <c r="C351" s="8"/>
      <c r="D351" s="8"/>
      <c r="E351" s="21"/>
      <c r="F351" s="64"/>
      <c r="G351" s="8"/>
      <c r="H351" s="8"/>
      <c r="I351" s="10"/>
      <c r="J351" s="10"/>
      <c r="K351" s="9"/>
      <c r="L351" s="9"/>
      <c r="M351" s="9"/>
      <c r="N351"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51" s="9"/>
      <c r="P351" s="9"/>
      <c r="Q351" s="8"/>
      <c r="R351" s="38"/>
      <c r="S351" s="38"/>
      <c r="T351" s="38"/>
      <c r="U351" s="38"/>
      <c r="V351" s="38"/>
      <c r="W351" s="38"/>
      <c r="X351" s="38"/>
      <c r="Y351"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51" s="38"/>
      <c r="AA351"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51" s="8"/>
      <c r="AC351" s="203"/>
      <c r="AD351"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51"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51" s="503"/>
      <c r="AG351" s="44"/>
      <c r="AH351" s="189" t="str">
        <f>IF(COUNTA(CCTSAS[[#This Row],[N°]:[heures annuelles
selon contrat(s)]])=0,"",REVEX!$E$9)</f>
        <v/>
      </c>
      <c r="AI351" s="73" t="str">
        <f>IF(CCTSAS[[#This Row],[Allocation fonctions]]="","",IF(ISNA(VLOOKUP(CCTSAS[[#This Row],[Allocation fonctions]],'Variable et Dropdowns'!H346:H362,1,FALSE))=TRUE,"Veuillez utiliser les allocations parmis la liste déroulante.",""))</f>
        <v/>
      </c>
    </row>
    <row r="352" spans="1:35" x14ac:dyDescent="0.25">
      <c r="A352" s="73" t="str">
        <f>IF(CCTSAS[[#This Row],[Carrière]]="","",IF(ISNA(VLOOKUP(CCTSAS[[#This Row],[Carrière]],DROPDOWN[Dropdown9],1,FALSE))=TRUE,"Carrière: Utiliser la liste déroulante",""))</f>
        <v/>
      </c>
      <c r="B352" s="8"/>
      <c r="C352" s="8"/>
      <c r="D352" s="8"/>
      <c r="E352" s="21"/>
      <c r="F352" s="64"/>
      <c r="G352" s="8"/>
      <c r="H352" s="8"/>
      <c r="I352" s="10"/>
      <c r="J352" s="10"/>
      <c r="K352" s="9"/>
      <c r="L352" s="9"/>
      <c r="M352" s="9"/>
      <c r="N352"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52" s="9"/>
      <c r="P352" s="9"/>
      <c r="Q352" s="8"/>
      <c r="R352" s="38"/>
      <c r="S352" s="38"/>
      <c r="T352" s="38"/>
      <c r="U352" s="38"/>
      <c r="V352" s="38"/>
      <c r="W352" s="38"/>
      <c r="X352" s="38"/>
      <c r="Y352"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52" s="38"/>
      <c r="AA352"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52" s="8"/>
      <c r="AC352" s="203"/>
      <c r="AD352"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52"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52" s="503"/>
      <c r="AG352" s="44"/>
      <c r="AH352" s="189" t="str">
        <f>IF(COUNTA(CCTSAS[[#This Row],[N°]:[heures annuelles
selon contrat(s)]])=0,"",REVEX!$E$9)</f>
        <v/>
      </c>
      <c r="AI352" s="73" t="str">
        <f>IF(CCTSAS[[#This Row],[Allocation fonctions]]="","",IF(ISNA(VLOOKUP(CCTSAS[[#This Row],[Allocation fonctions]],'Variable et Dropdowns'!H347:H363,1,FALSE))=TRUE,"Veuillez utiliser les allocations parmis la liste déroulante.",""))</f>
        <v/>
      </c>
    </row>
    <row r="353" spans="1:35" x14ac:dyDescent="0.25">
      <c r="A353" s="73" t="str">
        <f>IF(CCTSAS[[#This Row],[Carrière]]="","",IF(ISNA(VLOOKUP(CCTSAS[[#This Row],[Carrière]],DROPDOWN[Dropdown9],1,FALSE))=TRUE,"Carrière: Utiliser la liste déroulante",""))</f>
        <v/>
      </c>
      <c r="B353" s="8"/>
      <c r="C353" s="8"/>
      <c r="D353" s="8"/>
      <c r="E353" s="21"/>
      <c r="F353" s="64"/>
      <c r="G353" s="8"/>
      <c r="H353" s="8"/>
      <c r="I353" s="10"/>
      <c r="J353" s="10"/>
      <c r="K353" s="9"/>
      <c r="L353" s="9"/>
      <c r="M353" s="9"/>
      <c r="N353"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53" s="9"/>
      <c r="P353" s="9"/>
      <c r="Q353" s="8"/>
      <c r="R353" s="38"/>
      <c r="S353" s="38"/>
      <c r="T353" s="38"/>
      <c r="U353" s="38"/>
      <c r="V353" s="38"/>
      <c r="W353" s="38"/>
      <c r="X353" s="38"/>
      <c r="Y353"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53" s="38"/>
      <c r="AA353"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53" s="8"/>
      <c r="AC353" s="203"/>
      <c r="AD353"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53"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53" s="503"/>
      <c r="AG353" s="44"/>
      <c r="AH353" s="189" t="str">
        <f>IF(COUNTA(CCTSAS[[#This Row],[N°]:[heures annuelles
selon contrat(s)]])=0,"",REVEX!$E$9)</f>
        <v/>
      </c>
      <c r="AI353" s="73" t="str">
        <f>IF(CCTSAS[[#This Row],[Allocation fonctions]]="","",IF(ISNA(VLOOKUP(CCTSAS[[#This Row],[Allocation fonctions]],'Variable et Dropdowns'!H348:H364,1,FALSE))=TRUE,"Veuillez utiliser les allocations parmis la liste déroulante.",""))</f>
        <v/>
      </c>
    </row>
    <row r="354" spans="1:35" x14ac:dyDescent="0.25">
      <c r="A354" s="73" t="str">
        <f>IF(CCTSAS[[#This Row],[Carrière]]="","",IF(ISNA(VLOOKUP(CCTSAS[[#This Row],[Carrière]],DROPDOWN[Dropdown9],1,FALSE))=TRUE,"Carrière: Utiliser la liste déroulante",""))</f>
        <v/>
      </c>
      <c r="B354" s="8"/>
      <c r="C354" s="8"/>
      <c r="D354" s="8"/>
      <c r="E354" s="21"/>
      <c r="F354" s="64"/>
      <c r="G354" s="8"/>
      <c r="H354" s="8"/>
      <c r="I354" s="10"/>
      <c r="J354" s="10"/>
      <c r="K354" s="9"/>
      <c r="L354" s="9"/>
      <c r="M354" s="9"/>
      <c r="N354"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54" s="9"/>
      <c r="P354" s="9"/>
      <c r="Q354" s="8"/>
      <c r="R354" s="38"/>
      <c r="S354" s="38"/>
      <c r="T354" s="38"/>
      <c r="U354" s="38"/>
      <c r="V354" s="38"/>
      <c r="W354" s="38"/>
      <c r="X354" s="38"/>
      <c r="Y354"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54" s="38"/>
      <c r="AA354"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54" s="8"/>
      <c r="AC354" s="203"/>
      <c r="AD354"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54"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54" s="503"/>
      <c r="AG354" s="44"/>
      <c r="AH354" s="189" t="str">
        <f>IF(COUNTA(CCTSAS[[#This Row],[N°]:[heures annuelles
selon contrat(s)]])=0,"",REVEX!$E$9)</f>
        <v/>
      </c>
      <c r="AI354" s="73" t="str">
        <f>IF(CCTSAS[[#This Row],[Allocation fonctions]]="","",IF(ISNA(VLOOKUP(CCTSAS[[#This Row],[Allocation fonctions]],'Variable et Dropdowns'!H349:H365,1,FALSE))=TRUE,"Veuillez utiliser les allocations parmis la liste déroulante.",""))</f>
        <v/>
      </c>
    </row>
    <row r="355" spans="1:35" x14ac:dyDescent="0.25">
      <c r="A355" s="73" t="str">
        <f>IF(CCTSAS[[#This Row],[Carrière]]="","",IF(ISNA(VLOOKUP(CCTSAS[[#This Row],[Carrière]],DROPDOWN[Dropdown9],1,FALSE))=TRUE,"Carrière: Utiliser la liste déroulante",""))</f>
        <v/>
      </c>
      <c r="B355" s="8"/>
      <c r="C355" s="8"/>
      <c r="D355" s="8"/>
      <c r="E355" s="21"/>
      <c r="F355" s="64"/>
      <c r="G355" s="8"/>
      <c r="H355" s="8"/>
      <c r="I355" s="10"/>
      <c r="J355" s="10"/>
      <c r="K355" s="9"/>
      <c r="L355" s="9"/>
      <c r="M355" s="9"/>
      <c r="N355"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55" s="9"/>
      <c r="P355" s="9"/>
      <c r="Q355" s="8"/>
      <c r="R355" s="38"/>
      <c r="S355" s="38"/>
      <c r="T355" s="38"/>
      <c r="U355" s="38"/>
      <c r="V355" s="38"/>
      <c r="W355" s="38"/>
      <c r="X355" s="38"/>
      <c r="Y355"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55" s="38"/>
      <c r="AA355"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55" s="8"/>
      <c r="AC355" s="203"/>
      <c r="AD355"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55"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55" s="503"/>
      <c r="AG355" s="44"/>
      <c r="AH355" s="189" t="str">
        <f>IF(COUNTA(CCTSAS[[#This Row],[N°]:[heures annuelles
selon contrat(s)]])=0,"",REVEX!$E$9)</f>
        <v/>
      </c>
      <c r="AI355" s="73" t="str">
        <f>IF(CCTSAS[[#This Row],[Allocation fonctions]]="","",IF(ISNA(VLOOKUP(CCTSAS[[#This Row],[Allocation fonctions]],'Variable et Dropdowns'!H350:H366,1,FALSE))=TRUE,"Veuillez utiliser les allocations parmis la liste déroulante.",""))</f>
        <v/>
      </c>
    </row>
    <row r="356" spans="1:35" x14ac:dyDescent="0.25">
      <c r="A356" s="73" t="str">
        <f>IF(CCTSAS[[#This Row],[Carrière]]="","",IF(ISNA(VLOOKUP(CCTSAS[[#This Row],[Carrière]],DROPDOWN[Dropdown9],1,FALSE))=TRUE,"Carrière: Utiliser la liste déroulante",""))</f>
        <v/>
      </c>
      <c r="B356" s="8"/>
      <c r="C356" s="8"/>
      <c r="D356" s="8"/>
      <c r="E356" s="21"/>
      <c r="F356" s="64"/>
      <c r="G356" s="8"/>
      <c r="H356" s="8"/>
      <c r="I356" s="10"/>
      <c r="J356" s="10"/>
      <c r="K356" s="9"/>
      <c r="L356" s="9"/>
      <c r="M356" s="9"/>
      <c r="N356"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56" s="9"/>
      <c r="P356" s="9"/>
      <c r="Q356" s="8"/>
      <c r="R356" s="38"/>
      <c r="S356" s="38"/>
      <c r="T356" s="38"/>
      <c r="U356" s="38"/>
      <c r="V356" s="38"/>
      <c r="W356" s="38"/>
      <c r="X356" s="38"/>
      <c r="Y356"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56" s="38"/>
      <c r="AA356"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56" s="8"/>
      <c r="AC356" s="203"/>
      <c r="AD356"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56"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56" s="503"/>
      <c r="AG356" s="44"/>
      <c r="AH356" s="189" t="str">
        <f>IF(COUNTA(CCTSAS[[#This Row],[N°]:[heures annuelles
selon contrat(s)]])=0,"",REVEX!$E$9)</f>
        <v/>
      </c>
      <c r="AI356" s="73" t="str">
        <f>IF(CCTSAS[[#This Row],[Allocation fonctions]]="","",IF(ISNA(VLOOKUP(CCTSAS[[#This Row],[Allocation fonctions]],'Variable et Dropdowns'!H351:H367,1,FALSE))=TRUE,"Veuillez utiliser les allocations parmis la liste déroulante.",""))</f>
        <v/>
      </c>
    </row>
    <row r="357" spans="1:35" x14ac:dyDescent="0.25">
      <c r="A357" s="73" t="str">
        <f>IF(CCTSAS[[#This Row],[Carrière]]="","",IF(ISNA(VLOOKUP(CCTSAS[[#This Row],[Carrière]],DROPDOWN[Dropdown9],1,FALSE))=TRUE,"Carrière: Utiliser la liste déroulante",""))</f>
        <v/>
      </c>
      <c r="B357" s="8"/>
      <c r="C357" s="8"/>
      <c r="D357" s="8"/>
      <c r="E357" s="21"/>
      <c r="F357" s="64"/>
      <c r="G357" s="8"/>
      <c r="H357" s="8"/>
      <c r="I357" s="10"/>
      <c r="J357" s="10"/>
      <c r="K357" s="9"/>
      <c r="L357" s="9"/>
      <c r="M357" s="9"/>
      <c r="N357"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57" s="9"/>
      <c r="P357" s="9"/>
      <c r="Q357" s="8"/>
      <c r="R357" s="38"/>
      <c r="S357" s="38"/>
      <c r="T357" s="38"/>
      <c r="U357" s="38"/>
      <c r="V357" s="38"/>
      <c r="W357" s="38"/>
      <c r="X357" s="38"/>
      <c r="Y357"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57" s="38"/>
      <c r="AA357"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57" s="8"/>
      <c r="AC357" s="203"/>
      <c r="AD357"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57"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57" s="503"/>
      <c r="AG357" s="44"/>
      <c r="AH357" s="189" t="str">
        <f>IF(COUNTA(CCTSAS[[#This Row],[N°]:[heures annuelles
selon contrat(s)]])=0,"",REVEX!$E$9)</f>
        <v/>
      </c>
      <c r="AI357" s="73" t="str">
        <f>IF(CCTSAS[[#This Row],[Allocation fonctions]]="","",IF(ISNA(VLOOKUP(CCTSAS[[#This Row],[Allocation fonctions]],'Variable et Dropdowns'!H352:H368,1,FALSE))=TRUE,"Veuillez utiliser les allocations parmis la liste déroulante.",""))</f>
        <v/>
      </c>
    </row>
    <row r="358" spans="1:35" x14ac:dyDescent="0.25">
      <c r="A358" s="73" t="str">
        <f>IF(CCTSAS[[#This Row],[Carrière]]="","",IF(ISNA(VLOOKUP(CCTSAS[[#This Row],[Carrière]],DROPDOWN[Dropdown9],1,FALSE))=TRUE,"Carrière: Utiliser la liste déroulante",""))</f>
        <v/>
      </c>
      <c r="B358" s="8"/>
      <c r="C358" s="8"/>
      <c r="D358" s="8"/>
      <c r="E358" s="21"/>
      <c r="F358" s="64"/>
      <c r="G358" s="8"/>
      <c r="H358" s="8"/>
      <c r="I358" s="10"/>
      <c r="J358" s="10"/>
      <c r="K358" s="9"/>
      <c r="L358" s="9"/>
      <c r="M358" s="9"/>
      <c r="N358"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58" s="9"/>
      <c r="P358" s="9"/>
      <c r="Q358" s="8"/>
      <c r="R358" s="38"/>
      <c r="S358" s="38"/>
      <c r="T358" s="38"/>
      <c r="U358" s="38"/>
      <c r="V358" s="38"/>
      <c r="W358" s="38"/>
      <c r="X358" s="38"/>
      <c r="Y358"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58" s="38"/>
      <c r="AA358"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58" s="8"/>
      <c r="AC358" s="203"/>
      <c r="AD358"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58"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58" s="503"/>
      <c r="AG358" s="44"/>
      <c r="AH358" s="189" t="str">
        <f>IF(COUNTA(CCTSAS[[#This Row],[N°]:[heures annuelles
selon contrat(s)]])=0,"",REVEX!$E$9)</f>
        <v/>
      </c>
      <c r="AI358" s="73" t="str">
        <f>IF(CCTSAS[[#This Row],[Allocation fonctions]]="","",IF(ISNA(VLOOKUP(CCTSAS[[#This Row],[Allocation fonctions]],'Variable et Dropdowns'!H353:H369,1,FALSE))=TRUE,"Veuillez utiliser les allocations parmis la liste déroulante.",""))</f>
        <v/>
      </c>
    </row>
    <row r="359" spans="1:35" x14ac:dyDescent="0.25">
      <c r="A359" s="73" t="str">
        <f>IF(CCTSAS[[#This Row],[Carrière]]="","",IF(ISNA(VLOOKUP(CCTSAS[[#This Row],[Carrière]],DROPDOWN[Dropdown9],1,FALSE))=TRUE,"Carrière: Utiliser la liste déroulante",""))</f>
        <v/>
      </c>
      <c r="B359" s="8"/>
      <c r="C359" s="8"/>
      <c r="D359" s="8"/>
      <c r="E359" s="21"/>
      <c r="F359" s="64"/>
      <c r="G359" s="8"/>
      <c r="H359" s="8"/>
      <c r="I359" s="10"/>
      <c r="J359" s="10"/>
      <c r="K359" s="9"/>
      <c r="L359" s="9"/>
      <c r="M359" s="9"/>
      <c r="N359"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59" s="9"/>
      <c r="P359" s="9"/>
      <c r="Q359" s="8"/>
      <c r="R359" s="38"/>
      <c r="S359" s="38"/>
      <c r="T359" s="38"/>
      <c r="U359" s="38"/>
      <c r="V359" s="38"/>
      <c r="W359" s="38"/>
      <c r="X359" s="38"/>
      <c r="Y359"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59" s="38"/>
      <c r="AA359"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59" s="8"/>
      <c r="AC359" s="203"/>
      <c r="AD359"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59"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59" s="503"/>
      <c r="AG359" s="44"/>
      <c r="AH359" s="189" t="str">
        <f>IF(COUNTA(CCTSAS[[#This Row],[N°]:[heures annuelles
selon contrat(s)]])=0,"",REVEX!$E$9)</f>
        <v/>
      </c>
      <c r="AI359" s="73" t="str">
        <f>IF(CCTSAS[[#This Row],[Allocation fonctions]]="","",IF(ISNA(VLOOKUP(CCTSAS[[#This Row],[Allocation fonctions]],'Variable et Dropdowns'!H354:H370,1,FALSE))=TRUE,"Veuillez utiliser les allocations parmis la liste déroulante.",""))</f>
        <v/>
      </c>
    </row>
    <row r="360" spans="1:35" x14ac:dyDescent="0.25">
      <c r="A360" s="73" t="str">
        <f>IF(CCTSAS[[#This Row],[Carrière]]="","",IF(ISNA(VLOOKUP(CCTSAS[[#This Row],[Carrière]],DROPDOWN[Dropdown9],1,FALSE))=TRUE,"Carrière: Utiliser la liste déroulante",""))</f>
        <v/>
      </c>
      <c r="B360" s="8"/>
      <c r="C360" s="8"/>
      <c r="D360" s="8"/>
      <c r="E360" s="21"/>
      <c r="F360" s="64"/>
      <c r="G360" s="8"/>
      <c r="H360" s="8"/>
      <c r="I360" s="10"/>
      <c r="J360" s="10"/>
      <c r="K360" s="9"/>
      <c r="L360" s="9"/>
      <c r="M360" s="9"/>
      <c r="N360"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60" s="9"/>
      <c r="P360" s="9"/>
      <c r="Q360" s="8"/>
      <c r="R360" s="38"/>
      <c r="S360" s="38"/>
      <c r="T360" s="38"/>
      <c r="U360" s="38"/>
      <c r="V360" s="38"/>
      <c r="W360" s="38"/>
      <c r="X360" s="38"/>
      <c r="Y360"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60" s="38"/>
      <c r="AA360"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60" s="8"/>
      <c r="AC360" s="203"/>
      <c r="AD360"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60"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60" s="503"/>
      <c r="AG360" s="44"/>
      <c r="AH360" s="189" t="str">
        <f>IF(COUNTA(CCTSAS[[#This Row],[N°]:[heures annuelles
selon contrat(s)]])=0,"",REVEX!$E$9)</f>
        <v/>
      </c>
      <c r="AI360" s="73" t="str">
        <f>IF(CCTSAS[[#This Row],[Allocation fonctions]]="","",IF(ISNA(VLOOKUP(CCTSAS[[#This Row],[Allocation fonctions]],'Variable et Dropdowns'!H355:H371,1,FALSE))=TRUE,"Veuillez utiliser les allocations parmis la liste déroulante.",""))</f>
        <v/>
      </c>
    </row>
    <row r="361" spans="1:35" x14ac:dyDescent="0.25">
      <c r="A361" s="73" t="str">
        <f>IF(CCTSAS[[#This Row],[Carrière]]="","",IF(ISNA(VLOOKUP(CCTSAS[[#This Row],[Carrière]],DROPDOWN[Dropdown9],1,FALSE))=TRUE,"Carrière: Utiliser la liste déroulante",""))</f>
        <v/>
      </c>
      <c r="B361" s="8"/>
      <c r="C361" s="8"/>
      <c r="D361" s="8"/>
      <c r="E361" s="21"/>
      <c r="F361" s="64"/>
      <c r="G361" s="8"/>
      <c r="H361" s="8"/>
      <c r="I361" s="10"/>
      <c r="J361" s="10"/>
      <c r="K361" s="9"/>
      <c r="L361" s="9"/>
      <c r="M361" s="9"/>
      <c r="N361"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61" s="9"/>
      <c r="P361" s="9"/>
      <c r="Q361" s="8"/>
      <c r="R361" s="38"/>
      <c r="S361" s="38"/>
      <c r="T361" s="38"/>
      <c r="U361" s="38"/>
      <c r="V361" s="38"/>
      <c r="W361" s="38"/>
      <c r="X361" s="38"/>
      <c r="Y361"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61" s="38"/>
      <c r="AA361"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61" s="8"/>
      <c r="AC361" s="203"/>
      <c r="AD361"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61"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61" s="503"/>
      <c r="AG361" s="44"/>
      <c r="AH361" s="189" t="str">
        <f>IF(COUNTA(CCTSAS[[#This Row],[N°]:[heures annuelles
selon contrat(s)]])=0,"",REVEX!$E$9)</f>
        <v/>
      </c>
      <c r="AI361" s="73" t="str">
        <f>IF(CCTSAS[[#This Row],[Allocation fonctions]]="","",IF(ISNA(VLOOKUP(CCTSAS[[#This Row],[Allocation fonctions]],'Variable et Dropdowns'!H356:H372,1,FALSE))=TRUE,"Veuillez utiliser les allocations parmis la liste déroulante.",""))</f>
        <v/>
      </c>
    </row>
    <row r="362" spans="1:35" x14ac:dyDescent="0.25">
      <c r="A362" s="73" t="str">
        <f>IF(CCTSAS[[#This Row],[Carrière]]="","",IF(ISNA(VLOOKUP(CCTSAS[[#This Row],[Carrière]],DROPDOWN[Dropdown9],1,FALSE))=TRUE,"Carrière: Utiliser la liste déroulante",""))</f>
        <v/>
      </c>
      <c r="B362" s="8"/>
      <c r="C362" s="8"/>
      <c r="D362" s="8"/>
      <c r="E362" s="21"/>
      <c r="F362" s="64"/>
      <c r="G362" s="8"/>
      <c r="H362" s="8"/>
      <c r="I362" s="10"/>
      <c r="J362" s="10"/>
      <c r="K362" s="9"/>
      <c r="L362" s="9"/>
      <c r="M362" s="9"/>
      <c r="N362"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62" s="9"/>
      <c r="P362" s="9"/>
      <c r="Q362" s="8"/>
      <c r="R362" s="38"/>
      <c r="S362" s="38"/>
      <c r="T362" s="38"/>
      <c r="U362" s="38"/>
      <c r="V362" s="38"/>
      <c r="W362" s="38"/>
      <c r="X362" s="38"/>
      <c r="Y362"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62" s="38"/>
      <c r="AA362"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62" s="8"/>
      <c r="AC362" s="203"/>
      <c r="AD362"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62"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62" s="503"/>
      <c r="AG362" s="44"/>
      <c r="AH362" s="189" t="str">
        <f>IF(COUNTA(CCTSAS[[#This Row],[N°]:[heures annuelles
selon contrat(s)]])=0,"",REVEX!$E$9)</f>
        <v/>
      </c>
      <c r="AI362" s="73" t="str">
        <f>IF(CCTSAS[[#This Row],[Allocation fonctions]]="","",IF(ISNA(VLOOKUP(CCTSAS[[#This Row],[Allocation fonctions]],'Variable et Dropdowns'!H357:H373,1,FALSE))=TRUE,"Veuillez utiliser les allocations parmis la liste déroulante.",""))</f>
        <v/>
      </c>
    </row>
    <row r="363" spans="1:35" x14ac:dyDescent="0.25">
      <c r="A363" s="73" t="str">
        <f>IF(CCTSAS[[#This Row],[Carrière]]="","",IF(ISNA(VLOOKUP(CCTSAS[[#This Row],[Carrière]],DROPDOWN[Dropdown9],1,FALSE))=TRUE,"Carrière: Utiliser la liste déroulante",""))</f>
        <v/>
      </c>
      <c r="B363" s="8"/>
      <c r="C363" s="8"/>
      <c r="D363" s="8"/>
      <c r="E363" s="21"/>
      <c r="F363" s="64"/>
      <c r="G363" s="8"/>
      <c r="H363" s="8"/>
      <c r="I363" s="10"/>
      <c r="J363" s="10"/>
      <c r="K363" s="9"/>
      <c r="L363" s="9"/>
      <c r="M363" s="9"/>
      <c r="N363"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63" s="9"/>
      <c r="P363" s="9"/>
      <c r="Q363" s="8"/>
      <c r="R363" s="38"/>
      <c r="S363" s="38"/>
      <c r="T363" s="38"/>
      <c r="U363" s="38"/>
      <c r="V363" s="38"/>
      <c r="W363" s="38"/>
      <c r="X363" s="38"/>
      <c r="Y363"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63" s="38"/>
      <c r="AA363"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63" s="8"/>
      <c r="AC363" s="203"/>
      <c r="AD363"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63"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63" s="503"/>
      <c r="AG363" s="44"/>
      <c r="AH363" s="189" t="str">
        <f>IF(COUNTA(CCTSAS[[#This Row],[N°]:[heures annuelles
selon contrat(s)]])=0,"",REVEX!$E$9)</f>
        <v/>
      </c>
      <c r="AI363" s="73" t="str">
        <f>IF(CCTSAS[[#This Row],[Allocation fonctions]]="","",IF(ISNA(VLOOKUP(CCTSAS[[#This Row],[Allocation fonctions]],'Variable et Dropdowns'!H358:H374,1,FALSE))=TRUE,"Veuillez utiliser les allocations parmis la liste déroulante.",""))</f>
        <v/>
      </c>
    </row>
    <row r="364" spans="1:35" x14ac:dyDescent="0.25">
      <c r="A364" s="73" t="str">
        <f>IF(CCTSAS[[#This Row],[Carrière]]="","",IF(ISNA(VLOOKUP(CCTSAS[[#This Row],[Carrière]],DROPDOWN[Dropdown9],1,FALSE))=TRUE,"Carrière: Utiliser la liste déroulante",""))</f>
        <v/>
      </c>
      <c r="B364" s="8"/>
      <c r="C364" s="8"/>
      <c r="D364" s="8"/>
      <c r="E364" s="21"/>
      <c r="F364" s="64"/>
      <c r="G364" s="8"/>
      <c r="H364" s="8"/>
      <c r="I364" s="10"/>
      <c r="J364" s="10"/>
      <c r="K364" s="9"/>
      <c r="L364" s="9"/>
      <c r="M364" s="9"/>
      <c r="N364"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64" s="9"/>
      <c r="P364" s="9"/>
      <c r="Q364" s="8"/>
      <c r="R364" s="38"/>
      <c r="S364" s="38"/>
      <c r="T364" s="38"/>
      <c r="U364" s="38"/>
      <c r="V364" s="38"/>
      <c r="W364" s="38"/>
      <c r="X364" s="38"/>
      <c r="Y364"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64" s="38"/>
      <c r="AA364"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64" s="8"/>
      <c r="AC364" s="203"/>
      <c r="AD364"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64"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64" s="503"/>
      <c r="AG364" s="44"/>
      <c r="AH364" s="189" t="str">
        <f>IF(COUNTA(CCTSAS[[#This Row],[N°]:[heures annuelles
selon contrat(s)]])=0,"",REVEX!$E$9)</f>
        <v/>
      </c>
      <c r="AI364" s="73" t="str">
        <f>IF(CCTSAS[[#This Row],[Allocation fonctions]]="","",IF(ISNA(VLOOKUP(CCTSAS[[#This Row],[Allocation fonctions]],'Variable et Dropdowns'!H359:H375,1,FALSE))=TRUE,"Veuillez utiliser les allocations parmis la liste déroulante.",""))</f>
        <v/>
      </c>
    </row>
    <row r="365" spans="1:35" x14ac:dyDescent="0.25">
      <c r="A365" s="73" t="str">
        <f>IF(CCTSAS[[#This Row],[Carrière]]="","",IF(ISNA(VLOOKUP(CCTSAS[[#This Row],[Carrière]],DROPDOWN[Dropdown9],1,FALSE))=TRUE,"Carrière: Utiliser la liste déroulante",""))</f>
        <v/>
      </c>
      <c r="B365" s="8"/>
      <c r="C365" s="8"/>
      <c r="D365" s="8"/>
      <c r="E365" s="21"/>
      <c r="F365" s="64"/>
      <c r="G365" s="8"/>
      <c r="H365" s="8"/>
      <c r="I365" s="10"/>
      <c r="J365" s="10"/>
      <c r="K365" s="9"/>
      <c r="L365" s="9"/>
      <c r="M365" s="9"/>
      <c r="N365"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65" s="9"/>
      <c r="P365" s="9"/>
      <c r="Q365" s="8"/>
      <c r="R365" s="38"/>
      <c r="S365" s="38"/>
      <c r="T365" s="38"/>
      <c r="U365" s="38"/>
      <c r="V365" s="38"/>
      <c r="W365" s="38"/>
      <c r="X365" s="38"/>
      <c r="Y365"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65" s="38"/>
      <c r="AA365"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65" s="8"/>
      <c r="AC365" s="203"/>
      <c r="AD365"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65"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65" s="503"/>
      <c r="AG365" s="44"/>
      <c r="AH365" s="189" t="str">
        <f>IF(COUNTA(CCTSAS[[#This Row],[N°]:[heures annuelles
selon contrat(s)]])=0,"",REVEX!$E$9)</f>
        <v/>
      </c>
      <c r="AI365" s="73" t="str">
        <f>IF(CCTSAS[[#This Row],[Allocation fonctions]]="","",IF(ISNA(VLOOKUP(CCTSAS[[#This Row],[Allocation fonctions]],'Variable et Dropdowns'!H360:H376,1,FALSE))=TRUE,"Veuillez utiliser les allocations parmis la liste déroulante.",""))</f>
        <v/>
      </c>
    </row>
    <row r="366" spans="1:35" x14ac:dyDescent="0.25">
      <c r="A366" s="73" t="str">
        <f>IF(CCTSAS[[#This Row],[Carrière]]="","",IF(ISNA(VLOOKUP(CCTSAS[[#This Row],[Carrière]],DROPDOWN[Dropdown9],1,FALSE))=TRUE,"Carrière: Utiliser la liste déroulante",""))</f>
        <v/>
      </c>
      <c r="B366" s="8"/>
      <c r="C366" s="8"/>
      <c r="D366" s="8"/>
      <c r="E366" s="21"/>
      <c r="F366" s="64"/>
      <c r="G366" s="8"/>
      <c r="H366" s="8"/>
      <c r="I366" s="10"/>
      <c r="J366" s="10"/>
      <c r="K366" s="9"/>
      <c r="L366" s="9"/>
      <c r="M366" s="9"/>
      <c r="N366"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66" s="9"/>
      <c r="P366" s="9"/>
      <c r="Q366" s="8"/>
      <c r="R366" s="38"/>
      <c r="S366" s="38"/>
      <c r="T366" s="38"/>
      <c r="U366" s="38"/>
      <c r="V366" s="38"/>
      <c r="W366" s="38"/>
      <c r="X366" s="38"/>
      <c r="Y366"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66" s="38"/>
      <c r="AA366"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66" s="8"/>
      <c r="AC366" s="203"/>
      <c r="AD366"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66"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66" s="503"/>
      <c r="AG366" s="44"/>
      <c r="AH366" s="189" t="str">
        <f>IF(COUNTA(CCTSAS[[#This Row],[N°]:[heures annuelles
selon contrat(s)]])=0,"",REVEX!$E$9)</f>
        <v/>
      </c>
      <c r="AI366" s="73" t="str">
        <f>IF(CCTSAS[[#This Row],[Allocation fonctions]]="","",IF(ISNA(VLOOKUP(CCTSAS[[#This Row],[Allocation fonctions]],'Variable et Dropdowns'!H361:H377,1,FALSE))=TRUE,"Veuillez utiliser les allocations parmis la liste déroulante.",""))</f>
        <v/>
      </c>
    </row>
    <row r="367" spans="1:35" x14ac:dyDescent="0.25">
      <c r="A367" s="73" t="str">
        <f>IF(CCTSAS[[#This Row],[Carrière]]="","",IF(ISNA(VLOOKUP(CCTSAS[[#This Row],[Carrière]],DROPDOWN[Dropdown9],1,FALSE))=TRUE,"Carrière: Utiliser la liste déroulante",""))</f>
        <v/>
      </c>
      <c r="B367" s="8"/>
      <c r="C367" s="8"/>
      <c r="D367" s="8"/>
      <c r="E367" s="21"/>
      <c r="F367" s="64"/>
      <c r="G367" s="8"/>
      <c r="H367" s="8"/>
      <c r="I367" s="10"/>
      <c r="J367" s="10"/>
      <c r="K367" s="9"/>
      <c r="L367" s="9"/>
      <c r="M367" s="9"/>
      <c r="N367"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67" s="9"/>
      <c r="P367" s="9"/>
      <c r="Q367" s="8"/>
      <c r="R367" s="38"/>
      <c r="S367" s="38"/>
      <c r="T367" s="38"/>
      <c r="U367" s="38"/>
      <c r="V367" s="38"/>
      <c r="W367" s="38"/>
      <c r="X367" s="38"/>
      <c r="Y367"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67" s="38"/>
      <c r="AA367"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67" s="8"/>
      <c r="AC367" s="203"/>
      <c r="AD367"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67"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67" s="503"/>
      <c r="AG367" s="44"/>
      <c r="AH367" s="189" t="str">
        <f>IF(COUNTA(CCTSAS[[#This Row],[N°]:[heures annuelles
selon contrat(s)]])=0,"",REVEX!$E$9)</f>
        <v/>
      </c>
      <c r="AI367" s="73" t="str">
        <f>IF(CCTSAS[[#This Row],[Allocation fonctions]]="","",IF(ISNA(VLOOKUP(CCTSAS[[#This Row],[Allocation fonctions]],'Variable et Dropdowns'!H362:H378,1,FALSE))=TRUE,"Veuillez utiliser les allocations parmis la liste déroulante.",""))</f>
        <v/>
      </c>
    </row>
    <row r="368" spans="1:35" x14ac:dyDescent="0.25">
      <c r="A368" s="73" t="str">
        <f>IF(CCTSAS[[#This Row],[Carrière]]="","",IF(ISNA(VLOOKUP(CCTSAS[[#This Row],[Carrière]],DROPDOWN[Dropdown9],1,FALSE))=TRUE,"Carrière: Utiliser la liste déroulante",""))</f>
        <v/>
      </c>
      <c r="B368" s="8"/>
      <c r="C368" s="8"/>
      <c r="D368" s="8"/>
      <c r="E368" s="21"/>
      <c r="F368" s="64"/>
      <c r="G368" s="8"/>
      <c r="H368" s="8"/>
      <c r="I368" s="10"/>
      <c r="J368" s="10"/>
      <c r="K368" s="9"/>
      <c r="L368" s="9"/>
      <c r="M368" s="9"/>
      <c r="N368"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68" s="9"/>
      <c r="P368" s="9"/>
      <c r="Q368" s="8"/>
      <c r="R368" s="38"/>
      <c r="S368" s="38"/>
      <c r="T368" s="38"/>
      <c r="U368" s="38"/>
      <c r="V368" s="38"/>
      <c r="W368" s="38"/>
      <c r="X368" s="38"/>
      <c r="Y368"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68" s="38"/>
      <c r="AA368"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68" s="8"/>
      <c r="AC368" s="203"/>
      <c r="AD368"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68"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68" s="503"/>
      <c r="AG368" s="44"/>
      <c r="AH368" s="189" t="str">
        <f>IF(COUNTA(CCTSAS[[#This Row],[N°]:[heures annuelles
selon contrat(s)]])=0,"",REVEX!$E$9)</f>
        <v/>
      </c>
      <c r="AI368" s="73" t="str">
        <f>IF(CCTSAS[[#This Row],[Allocation fonctions]]="","",IF(ISNA(VLOOKUP(CCTSAS[[#This Row],[Allocation fonctions]],'Variable et Dropdowns'!H363:H379,1,FALSE))=TRUE,"Veuillez utiliser les allocations parmis la liste déroulante.",""))</f>
        <v/>
      </c>
    </row>
    <row r="369" spans="1:35" x14ac:dyDescent="0.25">
      <c r="A369" s="73" t="str">
        <f>IF(CCTSAS[[#This Row],[Carrière]]="","",IF(ISNA(VLOOKUP(CCTSAS[[#This Row],[Carrière]],DROPDOWN[Dropdown9],1,FALSE))=TRUE,"Carrière: Utiliser la liste déroulante",""))</f>
        <v/>
      </c>
      <c r="B369" s="8"/>
      <c r="C369" s="8"/>
      <c r="D369" s="8"/>
      <c r="E369" s="21"/>
      <c r="F369" s="64"/>
      <c r="G369" s="8"/>
      <c r="H369" s="8"/>
      <c r="I369" s="10"/>
      <c r="J369" s="10"/>
      <c r="K369" s="9"/>
      <c r="L369" s="9"/>
      <c r="M369" s="9"/>
      <c r="N369"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69" s="9"/>
      <c r="P369" s="9"/>
      <c r="Q369" s="8"/>
      <c r="R369" s="38"/>
      <c r="S369" s="38"/>
      <c r="T369" s="38"/>
      <c r="U369" s="38"/>
      <c r="V369" s="38"/>
      <c r="W369" s="38"/>
      <c r="X369" s="38"/>
      <c r="Y369"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69" s="38"/>
      <c r="AA369"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69" s="8"/>
      <c r="AC369" s="203"/>
      <c r="AD369"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69"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69" s="503"/>
      <c r="AG369" s="44"/>
      <c r="AH369" s="189" t="str">
        <f>IF(COUNTA(CCTSAS[[#This Row],[N°]:[heures annuelles
selon contrat(s)]])=0,"",REVEX!$E$9)</f>
        <v/>
      </c>
      <c r="AI369" s="73" t="str">
        <f>IF(CCTSAS[[#This Row],[Allocation fonctions]]="","",IF(ISNA(VLOOKUP(CCTSAS[[#This Row],[Allocation fonctions]],'Variable et Dropdowns'!H364:H380,1,FALSE))=TRUE,"Veuillez utiliser les allocations parmis la liste déroulante.",""))</f>
        <v/>
      </c>
    </row>
    <row r="370" spans="1:35" x14ac:dyDescent="0.25">
      <c r="A370" s="73" t="str">
        <f>IF(CCTSAS[[#This Row],[Carrière]]="","",IF(ISNA(VLOOKUP(CCTSAS[[#This Row],[Carrière]],DROPDOWN[Dropdown9],1,FALSE))=TRUE,"Carrière: Utiliser la liste déroulante",""))</f>
        <v/>
      </c>
      <c r="B370" s="8"/>
      <c r="C370" s="8"/>
      <c r="D370" s="8"/>
      <c r="E370" s="21"/>
      <c r="F370" s="64"/>
      <c r="G370" s="8"/>
      <c r="H370" s="8"/>
      <c r="I370" s="10"/>
      <c r="J370" s="10"/>
      <c r="K370" s="9"/>
      <c r="L370" s="9"/>
      <c r="M370" s="9"/>
      <c r="N370"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70" s="9"/>
      <c r="P370" s="9"/>
      <c r="Q370" s="8"/>
      <c r="R370" s="38"/>
      <c r="S370" s="38"/>
      <c r="T370" s="38"/>
      <c r="U370" s="38"/>
      <c r="V370" s="38"/>
      <c r="W370" s="38"/>
      <c r="X370" s="38"/>
      <c r="Y370"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70" s="38"/>
      <c r="AA370"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70" s="8"/>
      <c r="AC370" s="203"/>
      <c r="AD370"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70"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70" s="503"/>
      <c r="AG370" s="44"/>
      <c r="AH370" s="189" t="str">
        <f>IF(COUNTA(CCTSAS[[#This Row],[N°]:[heures annuelles
selon contrat(s)]])=0,"",REVEX!$E$9)</f>
        <v/>
      </c>
      <c r="AI370" s="73" t="str">
        <f>IF(CCTSAS[[#This Row],[Allocation fonctions]]="","",IF(ISNA(VLOOKUP(CCTSAS[[#This Row],[Allocation fonctions]],'Variable et Dropdowns'!H365:H381,1,FALSE))=TRUE,"Veuillez utiliser les allocations parmis la liste déroulante.",""))</f>
        <v/>
      </c>
    </row>
    <row r="371" spans="1:35" x14ac:dyDescent="0.25">
      <c r="A371" s="73" t="str">
        <f>IF(CCTSAS[[#This Row],[Carrière]]="","",IF(ISNA(VLOOKUP(CCTSAS[[#This Row],[Carrière]],DROPDOWN[Dropdown9],1,FALSE))=TRUE,"Carrière: Utiliser la liste déroulante",""))</f>
        <v/>
      </c>
      <c r="B371" s="8"/>
      <c r="C371" s="8"/>
      <c r="D371" s="8"/>
      <c r="E371" s="21"/>
      <c r="F371" s="64"/>
      <c r="G371" s="8"/>
      <c r="H371" s="8"/>
      <c r="I371" s="10"/>
      <c r="J371" s="10"/>
      <c r="K371" s="9"/>
      <c r="L371" s="9"/>
      <c r="M371" s="9"/>
      <c r="N371"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71" s="9"/>
      <c r="P371" s="9"/>
      <c r="Q371" s="8"/>
      <c r="R371" s="38"/>
      <c r="S371" s="38"/>
      <c r="T371" s="38"/>
      <c r="U371" s="38"/>
      <c r="V371" s="38"/>
      <c r="W371" s="38"/>
      <c r="X371" s="38"/>
      <c r="Y371"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71" s="38"/>
      <c r="AA371"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71" s="8"/>
      <c r="AC371" s="203"/>
      <c r="AD371"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71"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71" s="503"/>
      <c r="AG371" s="44"/>
      <c r="AH371" s="189" t="str">
        <f>IF(COUNTA(CCTSAS[[#This Row],[N°]:[heures annuelles
selon contrat(s)]])=0,"",REVEX!$E$9)</f>
        <v/>
      </c>
      <c r="AI371" s="73" t="str">
        <f>IF(CCTSAS[[#This Row],[Allocation fonctions]]="","",IF(ISNA(VLOOKUP(CCTSAS[[#This Row],[Allocation fonctions]],'Variable et Dropdowns'!H366:H382,1,FALSE))=TRUE,"Veuillez utiliser les allocations parmis la liste déroulante.",""))</f>
        <v/>
      </c>
    </row>
    <row r="372" spans="1:35" x14ac:dyDescent="0.25">
      <c r="A372" s="73" t="str">
        <f>IF(CCTSAS[[#This Row],[Carrière]]="","",IF(ISNA(VLOOKUP(CCTSAS[[#This Row],[Carrière]],DROPDOWN[Dropdown9],1,FALSE))=TRUE,"Carrière: Utiliser la liste déroulante",""))</f>
        <v/>
      </c>
      <c r="B372" s="8"/>
      <c r="C372" s="8"/>
      <c r="D372" s="8"/>
      <c r="E372" s="21"/>
      <c r="F372" s="64"/>
      <c r="G372" s="8"/>
      <c r="H372" s="8"/>
      <c r="I372" s="10"/>
      <c r="J372" s="10"/>
      <c r="K372" s="9"/>
      <c r="L372" s="9"/>
      <c r="M372" s="9"/>
      <c r="N372"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72" s="9"/>
      <c r="P372" s="9"/>
      <c r="Q372" s="8"/>
      <c r="R372" s="38"/>
      <c r="S372" s="38"/>
      <c r="T372" s="38"/>
      <c r="U372" s="38"/>
      <c r="V372" s="38"/>
      <c r="W372" s="38"/>
      <c r="X372" s="38"/>
      <c r="Y372"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72" s="38"/>
      <c r="AA372"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72" s="8"/>
      <c r="AC372" s="203"/>
      <c r="AD372"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72"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72" s="503"/>
      <c r="AG372" s="44"/>
      <c r="AH372" s="189" t="str">
        <f>IF(COUNTA(CCTSAS[[#This Row],[N°]:[heures annuelles
selon contrat(s)]])=0,"",REVEX!$E$9)</f>
        <v/>
      </c>
      <c r="AI372" s="73" t="str">
        <f>IF(CCTSAS[[#This Row],[Allocation fonctions]]="","",IF(ISNA(VLOOKUP(CCTSAS[[#This Row],[Allocation fonctions]],'Variable et Dropdowns'!H367:H383,1,FALSE))=TRUE,"Veuillez utiliser les allocations parmis la liste déroulante.",""))</f>
        <v/>
      </c>
    </row>
    <row r="373" spans="1:35" x14ac:dyDescent="0.25">
      <c r="A373" s="73" t="str">
        <f>IF(CCTSAS[[#This Row],[Carrière]]="","",IF(ISNA(VLOOKUP(CCTSAS[[#This Row],[Carrière]],DROPDOWN[Dropdown9],1,FALSE))=TRUE,"Carrière: Utiliser la liste déroulante",""))</f>
        <v/>
      </c>
      <c r="B373" s="8"/>
      <c r="C373" s="8"/>
      <c r="D373" s="8"/>
      <c r="E373" s="21"/>
      <c r="F373" s="64"/>
      <c r="G373" s="8"/>
      <c r="H373" s="8"/>
      <c r="I373" s="10"/>
      <c r="J373" s="10"/>
      <c r="K373" s="9"/>
      <c r="L373" s="9"/>
      <c r="M373" s="9"/>
      <c r="N373"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73" s="9"/>
      <c r="P373" s="9"/>
      <c r="Q373" s="8"/>
      <c r="R373" s="38"/>
      <c r="S373" s="38"/>
      <c r="T373" s="38"/>
      <c r="U373" s="38"/>
      <c r="V373" s="38"/>
      <c r="W373" s="38"/>
      <c r="X373" s="38"/>
      <c r="Y373"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73" s="38"/>
      <c r="AA373"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73" s="8"/>
      <c r="AC373" s="203"/>
      <c r="AD373"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73"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73" s="503"/>
      <c r="AG373" s="44"/>
      <c r="AH373" s="189" t="str">
        <f>IF(COUNTA(CCTSAS[[#This Row],[N°]:[heures annuelles
selon contrat(s)]])=0,"",REVEX!$E$9)</f>
        <v/>
      </c>
      <c r="AI373" s="73" t="str">
        <f>IF(CCTSAS[[#This Row],[Allocation fonctions]]="","",IF(ISNA(VLOOKUP(CCTSAS[[#This Row],[Allocation fonctions]],'Variable et Dropdowns'!H368:H384,1,FALSE))=TRUE,"Veuillez utiliser les allocations parmis la liste déroulante.",""))</f>
        <v/>
      </c>
    </row>
    <row r="374" spans="1:35" x14ac:dyDescent="0.25">
      <c r="A374" s="73" t="str">
        <f>IF(CCTSAS[[#This Row],[Carrière]]="","",IF(ISNA(VLOOKUP(CCTSAS[[#This Row],[Carrière]],DROPDOWN[Dropdown9],1,FALSE))=TRUE,"Carrière: Utiliser la liste déroulante",""))</f>
        <v/>
      </c>
      <c r="B374" s="8"/>
      <c r="C374" s="8"/>
      <c r="D374" s="8"/>
      <c r="E374" s="21"/>
      <c r="F374" s="64"/>
      <c r="G374" s="8"/>
      <c r="H374" s="8"/>
      <c r="I374" s="10"/>
      <c r="J374" s="10"/>
      <c r="K374" s="9"/>
      <c r="L374" s="9"/>
      <c r="M374" s="9"/>
      <c r="N374"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74" s="9"/>
      <c r="P374" s="9"/>
      <c r="Q374" s="8"/>
      <c r="R374" s="38"/>
      <c r="S374" s="38"/>
      <c r="T374" s="38"/>
      <c r="U374" s="38"/>
      <c r="V374" s="38"/>
      <c r="W374" s="38"/>
      <c r="X374" s="38"/>
      <c r="Y374"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74" s="38"/>
      <c r="AA374"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74" s="8"/>
      <c r="AC374" s="203"/>
      <c r="AD374"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74"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74" s="503"/>
      <c r="AG374" s="44"/>
      <c r="AH374" s="189" t="str">
        <f>IF(COUNTA(CCTSAS[[#This Row],[N°]:[heures annuelles
selon contrat(s)]])=0,"",REVEX!$E$9)</f>
        <v/>
      </c>
      <c r="AI374" s="73" t="str">
        <f>IF(CCTSAS[[#This Row],[Allocation fonctions]]="","",IF(ISNA(VLOOKUP(CCTSAS[[#This Row],[Allocation fonctions]],'Variable et Dropdowns'!H369:H385,1,FALSE))=TRUE,"Veuillez utiliser les allocations parmis la liste déroulante.",""))</f>
        <v/>
      </c>
    </row>
    <row r="375" spans="1:35" x14ac:dyDescent="0.25">
      <c r="A375" s="73" t="str">
        <f>IF(CCTSAS[[#This Row],[Carrière]]="","",IF(ISNA(VLOOKUP(CCTSAS[[#This Row],[Carrière]],DROPDOWN[Dropdown9],1,FALSE))=TRUE,"Carrière: Utiliser la liste déroulante",""))</f>
        <v/>
      </c>
      <c r="B375" s="8"/>
      <c r="C375" s="8"/>
      <c r="D375" s="8"/>
      <c r="E375" s="21"/>
      <c r="F375" s="64"/>
      <c r="G375" s="8"/>
      <c r="H375" s="8"/>
      <c r="I375" s="10"/>
      <c r="J375" s="10"/>
      <c r="K375" s="9"/>
      <c r="L375" s="9"/>
      <c r="M375" s="9"/>
      <c r="N375"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75" s="9"/>
      <c r="P375" s="9"/>
      <c r="Q375" s="8"/>
      <c r="R375" s="38"/>
      <c r="S375" s="38"/>
      <c r="T375" s="38"/>
      <c r="U375" s="38"/>
      <c r="V375" s="38"/>
      <c r="W375" s="38"/>
      <c r="X375" s="38"/>
      <c r="Y375"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75" s="38"/>
      <c r="AA375"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75" s="8"/>
      <c r="AC375" s="203"/>
      <c r="AD375"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75"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75" s="503"/>
      <c r="AG375" s="44"/>
      <c r="AH375" s="189" t="str">
        <f>IF(COUNTA(CCTSAS[[#This Row],[N°]:[heures annuelles
selon contrat(s)]])=0,"",REVEX!$E$9)</f>
        <v/>
      </c>
      <c r="AI375" s="73" t="str">
        <f>IF(CCTSAS[[#This Row],[Allocation fonctions]]="","",IF(ISNA(VLOOKUP(CCTSAS[[#This Row],[Allocation fonctions]],'Variable et Dropdowns'!H370:H386,1,FALSE))=TRUE,"Veuillez utiliser les allocations parmis la liste déroulante.",""))</f>
        <v/>
      </c>
    </row>
    <row r="376" spans="1:35" x14ac:dyDescent="0.25">
      <c r="A376" s="73" t="str">
        <f>IF(CCTSAS[[#This Row],[Carrière]]="","",IF(ISNA(VLOOKUP(CCTSAS[[#This Row],[Carrière]],DROPDOWN[Dropdown9],1,FALSE))=TRUE,"Carrière: Utiliser la liste déroulante",""))</f>
        <v/>
      </c>
      <c r="B376" s="8"/>
      <c r="C376" s="8"/>
      <c r="D376" s="8"/>
      <c r="E376" s="21"/>
      <c r="F376" s="64"/>
      <c r="G376" s="8"/>
      <c r="H376" s="8"/>
      <c r="I376" s="10"/>
      <c r="J376" s="10"/>
      <c r="K376" s="9"/>
      <c r="L376" s="9"/>
      <c r="M376" s="9"/>
      <c r="N376"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76" s="9"/>
      <c r="P376" s="9"/>
      <c r="Q376" s="8"/>
      <c r="R376" s="38"/>
      <c r="S376" s="38"/>
      <c r="T376" s="38"/>
      <c r="U376" s="38"/>
      <c r="V376" s="38"/>
      <c r="W376" s="38"/>
      <c r="X376" s="38"/>
      <c r="Y376"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76" s="38"/>
      <c r="AA376"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76" s="8"/>
      <c r="AC376" s="203"/>
      <c r="AD376"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76"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76" s="503"/>
      <c r="AG376" s="44"/>
      <c r="AH376" s="189" t="str">
        <f>IF(COUNTA(CCTSAS[[#This Row],[N°]:[heures annuelles
selon contrat(s)]])=0,"",REVEX!$E$9)</f>
        <v/>
      </c>
      <c r="AI376" s="73" t="str">
        <f>IF(CCTSAS[[#This Row],[Allocation fonctions]]="","",IF(ISNA(VLOOKUP(CCTSAS[[#This Row],[Allocation fonctions]],'Variable et Dropdowns'!H371:H387,1,FALSE))=TRUE,"Veuillez utiliser les allocations parmis la liste déroulante.",""))</f>
        <v/>
      </c>
    </row>
    <row r="377" spans="1:35" x14ac:dyDescent="0.25">
      <c r="A377" s="73" t="str">
        <f>IF(CCTSAS[[#This Row],[Carrière]]="","",IF(ISNA(VLOOKUP(CCTSAS[[#This Row],[Carrière]],DROPDOWN[Dropdown9],1,FALSE))=TRUE,"Carrière: Utiliser la liste déroulante",""))</f>
        <v/>
      </c>
      <c r="B377" s="8"/>
      <c r="C377" s="8"/>
      <c r="D377" s="8"/>
      <c r="E377" s="21"/>
      <c r="F377" s="64"/>
      <c r="G377" s="8"/>
      <c r="H377" s="8"/>
      <c r="I377" s="10"/>
      <c r="J377" s="10"/>
      <c r="K377" s="9"/>
      <c r="L377" s="9"/>
      <c r="M377" s="9"/>
      <c r="N377"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77" s="9"/>
      <c r="P377" s="9"/>
      <c r="Q377" s="8"/>
      <c r="R377" s="38"/>
      <c r="S377" s="38"/>
      <c r="T377" s="38"/>
      <c r="U377" s="38"/>
      <c r="V377" s="38"/>
      <c r="W377" s="38"/>
      <c r="X377" s="38"/>
      <c r="Y377"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77" s="38"/>
      <c r="AA377"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77" s="8"/>
      <c r="AC377" s="203"/>
      <c r="AD377"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77"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77" s="503"/>
      <c r="AG377" s="44"/>
      <c r="AH377" s="189" t="str">
        <f>IF(COUNTA(CCTSAS[[#This Row],[N°]:[heures annuelles
selon contrat(s)]])=0,"",REVEX!$E$9)</f>
        <v/>
      </c>
      <c r="AI377" s="73" t="str">
        <f>IF(CCTSAS[[#This Row],[Allocation fonctions]]="","",IF(ISNA(VLOOKUP(CCTSAS[[#This Row],[Allocation fonctions]],'Variable et Dropdowns'!H372:H388,1,FALSE))=TRUE,"Veuillez utiliser les allocations parmis la liste déroulante.",""))</f>
        <v/>
      </c>
    </row>
    <row r="378" spans="1:35" x14ac:dyDescent="0.25">
      <c r="A378" s="73" t="str">
        <f>IF(CCTSAS[[#This Row],[Carrière]]="","",IF(ISNA(VLOOKUP(CCTSAS[[#This Row],[Carrière]],DROPDOWN[Dropdown9],1,FALSE))=TRUE,"Carrière: Utiliser la liste déroulante",""))</f>
        <v/>
      </c>
      <c r="B378" s="8"/>
      <c r="C378" s="8"/>
      <c r="D378" s="8"/>
      <c r="E378" s="21"/>
      <c r="F378" s="64"/>
      <c r="G378" s="8"/>
      <c r="H378" s="8"/>
      <c r="I378" s="10"/>
      <c r="J378" s="10"/>
      <c r="K378" s="9"/>
      <c r="L378" s="9"/>
      <c r="M378" s="9"/>
      <c r="N378"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78" s="9"/>
      <c r="P378" s="9"/>
      <c r="Q378" s="8"/>
      <c r="R378" s="38"/>
      <c r="S378" s="38"/>
      <c r="T378" s="38"/>
      <c r="U378" s="38"/>
      <c r="V378" s="38"/>
      <c r="W378" s="38"/>
      <c r="X378" s="38"/>
      <c r="Y378"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78" s="38"/>
      <c r="AA378"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78" s="8"/>
      <c r="AC378" s="203"/>
      <c r="AD378"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78"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78" s="503"/>
      <c r="AG378" s="44"/>
      <c r="AH378" s="189" t="str">
        <f>IF(COUNTA(CCTSAS[[#This Row],[N°]:[heures annuelles
selon contrat(s)]])=0,"",REVEX!$E$9)</f>
        <v/>
      </c>
      <c r="AI378" s="73" t="str">
        <f>IF(CCTSAS[[#This Row],[Allocation fonctions]]="","",IF(ISNA(VLOOKUP(CCTSAS[[#This Row],[Allocation fonctions]],'Variable et Dropdowns'!H373:H389,1,FALSE))=TRUE,"Veuillez utiliser les allocations parmis la liste déroulante.",""))</f>
        <v/>
      </c>
    </row>
    <row r="379" spans="1:35" x14ac:dyDescent="0.25">
      <c r="A379" s="73" t="str">
        <f>IF(CCTSAS[[#This Row],[Carrière]]="","",IF(ISNA(VLOOKUP(CCTSAS[[#This Row],[Carrière]],DROPDOWN[Dropdown9],1,FALSE))=TRUE,"Carrière: Utiliser la liste déroulante",""))</f>
        <v/>
      </c>
      <c r="B379" s="8"/>
      <c r="C379" s="8"/>
      <c r="D379" s="8"/>
      <c r="E379" s="21"/>
      <c r="F379" s="64"/>
      <c r="G379" s="8"/>
      <c r="H379" s="8"/>
      <c r="I379" s="10"/>
      <c r="J379" s="10"/>
      <c r="K379" s="9"/>
      <c r="L379" s="9"/>
      <c r="M379" s="9"/>
      <c r="N379"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79" s="9"/>
      <c r="P379" s="9"/>
      <c r="Q379" s="8"/>
      <c r="R379" s="38"/>
      <c r="S379" s="38"/>
      <c r="T379" s="38"/>
      <c r="U379" s="38"/>
      <c r="V379" s="38"/>
      <c r="W379" s="38"/>
      <c r="X379" s="38"/>
      <c r="Y379"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79" s="38"/>
      <c r="AA379"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79" s="8"/>
      <c r="AC379" s="203"/>
      <c r="AD379"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79"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79" s="503"/>
      <c r="AG379" s="44"/>
      <c r="AH379" s="189" t="str">
        <f>IF(COUNTA(CCTSAS[[#This Row],[N°]:[heures annuelles
selon contrat(s)]])=0,"",REVEX!$E$9)</f>
        <v/>
      </c>
      <c r="AI379" s="73" t="str">
        <f>IF(CCTSAS[[#This Row],[Allocation fonctions]]="","",IF(ISNA(VLOOKUP(CCTSAS[[#This Row],[Allocation fonctions]],'Variable et Dropdowns'!H374:H390,1,FALSE))=TRUE,"Veuillez utiliser les allocations parmis la liste déroulante.",""))</f>
        <v/>
      </c>
    </row>
    <row r="380" spans="1:35" x14ac:dyDescent="0.25">
      <c r="A380" s="73" t="str">
        <f>IF(CCTSAS[[#This Row],[Carrière]]="","",IF(ISNA(VLOOKUP(CCTSAS[[#This Row],[Carrière]],DROPDOWN[Dropdown9],1,FALSE))=TRUE,"Carrière: Utiliser la liste déroulante",""))</f>
        <v/>
      </c>
      <c r="B380" s="8"/>
      <c r="C380" s="8"/>
      <c r="D380" s="8"/>
      <c r="E380" s="21"/>
      <c r="F380" s="64"/>
      <c r="G380" s="8"/>
      <c r="H380" s="8"/>
      <c r="I380" s="10"/>
      <c r="J380" s="10"/>
      <c r="K380" s="9"/>
      <c r="L380" s="9"/>
      <c r="M380" s="9"/>
      <c r="N380"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80" s="9"/>
      <c r="P380" s="9"/>
      <c r="Q380" s="8"/>
      <c r="R380" s="38"/>
      <c r="S380" s="38"/>
      <c r="T380" s="38"/>
      <c r="U380" s="38"/>
      <c r="V380" s="38"/>
      <c r="W380" s="38"/>
      <c r="X380" s="38"/>
      <c r="Y380"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80" s="38"/>
      <c r="AA380"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80" s="8"/>
      <c r="AC380" s="203"/>
      <c r="AD380"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80"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80" s="503"/>
      <c r="AG380" s="44"/>
      <c r="AH380" s="189" t="str">
        <f>IF(COUNTA(CCTSAS[[#This Row],[N°]:[heures annuelles
selon contrat(s)]])=0,"",REVEX!$E$9)</f>
        <v/>
      </c>
      <c r="AI380" s="73" t="str">
        <f>IF(CCTSAS[[#This Row],[Allocation fonctions]]="","",IF(ISNA(VLOOKUP(CCTSAS[[#This Row],[Allocation fonctions]],'Variable et Dropdowns'!H375:H391,1,FALSE))=TRUE,"Veuillez utiliser les allocations parmis la liste déroulante.",""))</f>
        <v/>
      </c>
    </row>
    <row r="381" spans="1:35" x14ac:dyDescent="0.25">
      <c r="A381" s="73" t="str">
        <f>IF(CCTSAS[[#This Row],[Carrière]]="","",IF(ISNA(VLOOKUP(CCTSAS[[#This Row],[Carrière]],DROPDOWN[Dropdown9],1,FALSE))=TRUE,"Carrière: Utiliser la liste déroulante",""))</f>
        <v/>
      </c>
      <c r="B381" s="8"/>
      <c r="C381" s="8"/>
      <c r="D381" s="8"/>
      <c r="E381" s="21"/>
      <c r="F381" s="64"/>
      <c r="G381" s="8"/>
      <c r="H381" s="8"/>
      <c r="I381" s="10"/>
      <c r="J381" s="10"/>
      <c r="K381" s="9"/>
      <c r="L381" s="9"/>
      <c r="M381" s="9"/>
      <c r="N381"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81" s="9"/>
      <c r="P381" s="9"/>
      <c r="Q381" s="8"/>
      <c r="R381" s="38"/>
      <c r="S381" s="38"/>
      <c r="T381" s="38"/>
      <c r="U381" s="38"/>
      <c r="V381" s="38"/>
      <c r="W381" s="38"/>
      <c r="X381" s="38"/>
      <c r="Y381"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81" s="38"/>
      <c r="AA381"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81" s="8"/>
      <c r="AC381" s="203"/>
      <c r="AD381"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81"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81" s="503"/>
      <c r="AG381" s="44"/>
      <c r="AH381" s="189" t="str">
        <f>IF(COUNTA(CCTSAS[[#This Row],[N°]:[heures annuelles
selon contrat(s)]])=0,"",REVEX!$E$9)</f>
        <v/>
      </c>
      <c r="AI381" s="73" t="str">
        <f>IF(CCTSAS[[#This Row],[Allocation fonctions]]="","",IF(ISNA(VLOOKUP(CCTSAS[[#This Row],[Allocation fonctions]],'Variable et Dropdowns'!H376:H392,1,FALSE))=TRUE,"Veuillez utiliser les allocations parmis la liste déroulante.",""))</f>
        <v/>
      </c>
    </row>
    <row r="382" spans="1:35" x14ac:dyDescent="0.25">
      <c r="A382" s="73" t="str">
        <f>IF(CCTSAS[[#This Row],[Carrière]]="","",IF(ISNA(VLOOKUP(CCTSAS[[#This Row],[Carrière]],DROPDOWN[Dropdown9],1,FALSE))=TRUE,"Carrière: Utiliser la liste déroulante",""))</f>
        <v/>
      </c>
      <c r="B382" s="8"/>
      <c r="C382" s="8"/>
      <c r="D382" s="8"/>
      <c r="E382" s="21"/>
      <c r="F382" s="64"/>
      <c r="G382" s="8"/>
      <c r="H382" s="8"/>
      <c r="I382" s="10"/>
      <c r="J382" s="10"/>
      <c r="K382" s="9"/>
      <c r="L382" s="9"/>
      <c r="M382" s="9"/>
      <c r="N382"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82" s="9"/>
      <c r="P382" s="9"/>
      <c r="Q382" s="8"/>
      <c r="R382" s="38"/>
      <c r="S382" s="38"/>
      <c r="T382" s="38"/>
      <c r="U382" s="38"/>
      <c r="V382" s="38"/>
      <c r="W382" s="38"/>
      <c r="X382" s="38"/>
      <c r="Y382"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82" s="38"/>
      <c r="AA382"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82" s="8"/>
      <c r="AC382" s="203"/>
      <c r="AD382"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82"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82" s="503"/>
      <c r="AG382" s="44"/>
      <c r="AH382" s="189" t="str">
        <f>IF(COUNTA(CCTSAS[[#This Row],[N°]:[heures annuelles
selon contrat(s)]])=0,"",REVEX!$E$9)</f>
        <v/>
      </c>
      <c r="AI382" s="73" t="str">
        <f>IF(CCTSAS[[#This Row],[Allocation fonctions]]="","",IF(ISNA(VLOOKUP(CCTSAS[[#This Row],[Allocation fonctions]],'Variable et Dropdowns'!H377:H393,1,FALSE))=TRUE,"Veuillez utiliser les allocations parmis la liste déroulante.",""))</f>
        <v/>
      </c>
    </row>
    <row r="383" spans="1:35" x14ac:dyDescent="0.25">
      <c r="A383" s="73" t="str">
        <f>IF(CCTSAS[[#This Row],[Carrière]]="","",IF(ISNA(VLOOKUP(CCTSAS[[#This Row],[Carrière]],DROPDOWN[Dropdown9],1,FALSE))=TRUE,"Carrière: Utiliser la liste déroulante",""))</f>
        <v/>
      </c>
      <c r="B383" s="8"/>
      <c r="C383" s="8"/>
      <c r="D383" s="8"/>
      <c r="E383" s="21"/>
      <c r="F383" s="64"/>
      <c r="G383" s="8"/>
      <c r="H383" s="8"/>
      <c r="I383" s="10"/>
      <c r="J383" s="10"/>
      <c r="K383" s="9"/>
      <c r="L383" s="9"/>
      <c r="M383" s="9"/>
      <c r="N383"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83" s="9"/>
      <c r="P383" s="9"/>
      <c r="Q383" s="8"/>
      <c r="R383" s="38"/>
      <c r="S383" s="38"/>
      <c r="T383" s="38"/>
      <c r="U383" s="38"/>
      <c r="V383" s="38"/>
      <c r="W383" s="38"/>
      <c r="X383" s="38"/>
      <c r="Y383"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83" s="38"/>
      <c r="AA383"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83" s="8"/>
      <c r="AC383" s="203"/>
      <c r="AD383"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83"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83" s="503"/>
      <c r="AG383" s="44"/>
      <c r="AH383" s="189" t="str">
        <f>IF(COUNTA(CCTSAS[[#This Row],[N°]:[heures annuelles
selon contrat(s)]])=0,"",REVEX!$E$9)</f>
        <v/>
      </c>
      <c r="AI383" s="73" t="str">
        <f>IF(CCTSAS[[#This Row],[Allocation fonctions]]="","",IF(ISNA(VLOOKUP(CCTSAS[[#This Row],[Allocation fonctions]],'Variable et Dropdowns'!H378:H394,1,FALSE))=TRUE,"Veuillez utiliser les allocations parmis la liste déroulante.",""))</f>
        <v/>
      </c>
    </row>
    <row r="384" spans="1:35" x14ac:dyDescent="0.25">
      <c r="A384" s="73" t="str">
        <f>IF(CCTSAS[[#This Row],[Carrière]]="","",IF(ISNA(VLOOKUP(CCTSAS[[#This Row],[Carrière]],DROPDOWN[Dropdown9],1,FALSE))=TRUE,"Carrière: Utiliser la liste déroulante",""))</f>
        <v/>
      </c>
      <c r="B384" s="8"/>
      <c r="C384" s="8"/>
      <c r="D384" s="8"/>
      <c r="E384" s="21"/>
      <c r="F384" s="64"/>
      <c r="G384" s="8"/>
      <c r="H384" s="8"/>
      <c r="I384" s="10"/>
      <c r="J384" s="10"/>
      <c r="K384" s="9"/>
      <c r="L384" s="9"/>
      <c r="M384" s="9"/>
      <c r="N384"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84" s="9"/>
      <c r="P384" s="9"/>
      <c r="Q384" s="8"/>
      <c r="R384" s="38"/>
      <c r="S384" s="38"/>
      <c r="T384" s="38"/>
      <c r="U384" s="38"/>
      <c r="V384" s="38"/>
      <c r="W384" s="38"/>
      <c r="X384" s="38"/>
      <c r="Y384"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84" s="38"/>
      <c r="AA384"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84" s="8"/>
      <c r="AC384" s="203"/>
      <c r="AD384"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84"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84" s="503"/>
      <c r="AG384" s="44"/>
      <c r="AH384" s="189" t="str">
        <f>IF(COUNTA(CCTSAS[[#This Row],[N°]:[heures annuelles
selon contrat(s)]])=0,"",REVEX!$E$9)</f>
        <v/>
      </c>
      <c r="AI384" s="73" t="str">
        <f>IF(CCTSAS[[#This Row],[Allocation fonctions]]="","",IF(ISNA(VLOOKUP(CCTSAS[[#This Row],[Allocation fonctions]],'Variable et Dropdowns'!H379:H395,1,FALSE))=TRUE,"Veuillez utiliser les allocations parmis la liste déroulante.",""))</f>
        <v/>
      </c>
    </row>
    <row r="385" spans="1:35" x14ac:dyDescent="0.25">
      <c r="A385" s="73" t="str">
        <f>IF(CCTSAS[[#This Row],[Carrière]]="","",IF(ISNA(VLOOKUP(CCTSAS[[#This Row],[Carrière]],DROPDOWN[Dropdown9],1,FALSE))=TRUE,"Carrière: Utiliser la liste déroulante",""))</f>
        <v/>
      </c>
      <c r="B385" s="8"/>
      <c r="C385" s="8"/>
      <c r="D385" s="8"/>
      <c r="E385" s="21"/>
      <c r="F385" s="64"/>
      <c r="G385" s="8"/>
      <c r="H385" s="8"/>
      <c r="I385" s="10"/>
      <c r="J385" s="10"/>
      <c r="K385" s="9"/>
      <c r="L385" s="9"/>
      <c r="M385" s="9"/>
      <c r="N385"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85" s="9"/>
      <c r="P385" s="9"/>
      <c r="Q385" s="8"/>
      <c r="R385" s="38"/>
      <c r="S385" s="38"/>
      <c r="T385" s="38"/>
      <c r="U385" s="38"/>
      <c r="V385" s="38"/>
      <c r="W385" s="38"/>
      <c r="X385" s="38"/>
      <c r="Y385"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85" s="38"/>
      <c r="AA385"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85" s="8"/>
      <c r="AC385" s="203"/>
      <c r="AD385"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85"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85" s="503"/>
      <c r="AG385" s="44"/>
      <c r="AH385" s="189" t="str">
        <f>IF(COUNTA(CCTSAS[[#This Row],[N°]:[heures annuelles
selon contrat(s)]])=0,"",REVEX!$E$9)</f>
        <v/>
      </c>
      <c r="AI385" s="73" t="str">
        <f>IF(CCTSAS[[#This Row],[Allocation fonctions]]="","",IF(ISNA(VLOOKUP(CCTSAS[[#This Row],[Allocation fonctions]],'Variable et Dropdowns'!H380:H396,1,FALSE))=TRUE,"Veuillez utiliser les allocations parmis la liste déroulante.",""))</f>
        <v/>
      </c>
    </row>
    <row r="386" spans="1:35" x14ac:dyDescent="0.25">
      <c r="A386" s="73" t="str">
        <f>IF(CCTSAS[[#This Row],[Carrière]]="","",IF(ISNA(VLOOKUP(CCTSAS[[#This Row],[Carrière]],DROPDOWN[Dropdown9],1,FALSE))=TRUE,"Carrière: Utiliser la liste déroulante",""))</f>
        <v/>
      </c>
      <c r="B386" s="8"/>
      <c r="C386" s="8"/>
      <c r="D386" s="8"/>
      <c r="E386" s="21"/>
      <c r="F386" s="64"/>
      <c r="G386" s="8"/>
      <c r="H386" s="8"/>
      <c r="I386" s="10"/>
      <c r="J386" s="10"/>
      <c r="K386" s="9"/>
      <c r="L386" s="9"/>
      <c r="M386" s="9"/>
      <c r="N386"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86" s="9"/>
      <c r="P386" s="9"/>
      <c r="Q386" s="8"/>
      <c r="R386" s="38"/>
      <c r="S386" s="38"/>
      <c r="T386" s="38"/>
      <c r="U386" s="38"/>
      <c r="V386" s="38"/>
      <c r="W386" s="38"/>
      <c r="X386" s="38"/>
      <c r="Y386"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86" s="38"/>
      <c r="AA386"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86" s="8"/>
      <c r="AC386" s="203"/>
      <c r="AD386"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86"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86" s="503"/>
      <c r="AG386" s="44"/>
      <c r="AH386" s="189" t="str">
        <f>IF(COUNTA(CCTSAS[[#This Row],[N°]:[heures annuelles
selon contrat(s)]])=0,"",REVEX!$E$9)</f>
        <v/>
      </c>
      <c r="AI386" s="73" t="str">
        <f>IF(CCTSAS[[#This Row],[Allocation fonctions]]="","",IF(ISNA(VLOOKUP(CCTSAS[[#This Row],[Allocation fonctions]],'Variable et Dropdowns'!H381:H397,1,FALSE))=TRUE,"Veuillez utiliser les allocations parmis la liste déroulante.",""))</f>
        <v/>
      </c>
    </row>
    <row r="387" spans="1:35" x14ac:dyDescent="0.25">
      <c r="A387" s="73" t="str">
        <f>IF(CCTSAS[[#This Row],[Carrière]]="","",IF(ISNA(VLOOKUP(CCTSAS[[#This Row],[Carrière]],DROPDOWN[Dropdown9],1,FALSE))=TRUE,"Carrière: Utiliser la liste déroulante",""))</f>
        <v/>
      </c>
      <c r="B387" s="8"/>
      <c r="C387" s="8"/>
      <c r="D387" s="8"/>
      <c r="E387" s="21"/>
      <c r="F387" s="64"/>
      <c r="G387" s="8"/>
      <c r="H387" s="8"/>
      <c r="I387" s="10"/>
      <c r="J387" s="10"/>
      <c r="K387" s="9"/>
      <c r="L387" s="9"/>
      <c r="M387" s="9"/>
      <c r="N387"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87" s="9"/>
      <c r="P387" s="9"/>
      <c r="Q387" s="8"/>
      <c r="R387" s="38"/>
      <c r="S387" s="38"/>
      <c r="T387" s="38"/>
      <c r="U387" s="38"/>
      <c r="V387" s="38"/>
      <c r="W387" s="38"/>
      <c r="X387" s="38"/>
      <c r="Y387"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87" s="38"/>
      <c r="AA387"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87" s="8"/>
      <c r="AC387" s="203"/>
      <c r="AD387"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87"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87" s="503"/>
      <c r="AG387" s="44"/>
      <c r="AH387" s="189" t="str">
        <f>IF(COUNTA(CCTSAS[[#This Row],[N°]:[heures annuelles
selon contrat(s)]])=0,"",REVEX!$E$9)</f>
        <v/>
      </c>
      <c r="AI387" s="73" t="str">
        <f>IF(CCTSAS[[#This Row],[Allocation fonctions]]="","",IF(ISNA(VLOOKUP(CCTSAS[[#This Row],[Allocation fonctions]],'Variable et Dropdowns'!H382:H398,1,FALSE))=TRUE,"Veuillez utiliser les allocations parmis la liste déroulante.",""))</f>
        <v/>
      </c>
    </row>
    <row r="388" spans="1:35" x14ac:dyDescent="0.25">
      <c r="A388" s="73" t="str">
        <f>IF(CCTSAS[[#This Row],[Carrière]]="","",IF(ISNA(VLOOKUP(CCTSAS[[#This Row],[Carrière]],DROPDOWN[Dropdown9],1,FALSE))=TRUE,"Carrière: Utiliser la liste déroulante",""))</f>
        <v/>
      </c>
      <c r="B388" s="8"/>
      <c r="C388" s="8"/>
      <c r="D388" s="8"/>
      <c r="E388" s="21"/>
      <c r="F388" s="64"/>
      <c r="G388" s="8"/>
      <c r="H388" s="8"/>
      <c r="I388" s="10"/>
      <c r="J388" s="10"/>
      <c r="K388" s="9"/>
      <c r="L388" s="9"/>
      <c r="M388" s="9"/>
      <c r="N388"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88" s="9"/>
      <c r="P388" s="9"/>
      <c r="Q388" s="8"/>
      <c r="R388" s="38"/>
      <c r="S388" s="38"/>
      <c r="T388" s="38"/>
      <c r="U388" s="38"/>
      <c r="V388" s="38"/>
      <c r="W388" s="38"/>
      <c r="X388" s="38"/>
      <c r="Y388"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88" s="38"/>
      <c r="AA388"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88" s="8"/>
      <c r="AC388" s="203"/>
      <c r="AD388"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88"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88" s="503"/>
      <c r="AG388" s="44"/>
      <c r="AH388" s="189" t="str">
        <f>IF(COUNTA(CCTSAS[[#This Row],[N°]:[heures annuelles
selon contrat(s)]])=0,"",REVEX!$E$9)</f>
        <v/>
      </c>
      <c r="AI388" s="73" t="str">
        <f>IF(CCTSAS[[#This Row],[Allocation fonctions]]="","",IF(ISNA(VLOOKUP(CCTSAS[[#This Row],[Allocation fonctions]],'Variable et Dropdowns'!H383:H399,1,FALSE))=TRUE,"Veuillez utiliser les allocations parmis la liste déroulante.",""))</f>
        <v/>
      </c>
    </row>
    <row r="389" spans="1:35" x14ac:dyDescent="0.25">
      <c r="A389" s="73" t="str">
        <f>IF(CCTSAS[[#This Row],[Carrière]]="","",IF(ISNA(VLOOKUP(CCTSAS[[#This Row],[Carrière]],DROPDOWN[Dropdown9],1,FALSE))=TRUE,"Carrière: Utiliser la liste déroulante",""))</f>
        <v/>
      </c>
      <c r="B389" s="8"/>
      <c r="C389" s="8"/>
      <c r="D389" s="8"/>
      <c r="E389" s="21"/>
      <c r="F389" s="64"/>
      <c r="G389" s="8"/>
      <c r="H389" s="8"/>
      <c r="I389" s="10"/>
      <c r="J389" s="10"/>
      <c r="K389" s="9"/>
      <c r="L389" s="9"/>
      <c r="M389" s="9"/>
      <c r="N389"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89" s="9"/>
      <c r="P389" s="9"/>
      <c r="Q389" s="8"/>
      <c r="R389" s="38"/>
      <c r="S389" s="38"/>
      <c r="T389" s="38"/>
      <c r="U389" s="38"/>
      <c r="V389" s="38"/>
      <c r="W389" s="38"/>
      <c r="X389" s="38"/>
      <c r="Y389"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89" s="38"/>
      <c r="AA389"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89" s="8"/>
      <c r="AC389" s="203"/>
      <c r="AD389"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89"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89" s="503"/>
      <c r="AG389" s="44"/>
      <c r="AH389" s="189" t="str">
        <f>IF(COUNTA(CCTSAS[[#This Row],[N°]:[heures annuelles
selon contrat(s)]])=0,"",REVEX!$E$9)</f>
        <v/>
      </c>
      <c r="AI389" s="73" t="str">
        <f>IF(CCTSAS[[#This Row],[Allocation fonctions]]="","",IF(ISNA(VLOOKUP(CCTSAS[[#This Row],[Allocation fonctions]],'Variable et Dropdowns'!H384:H400,1,FALSE))=TRUE,"Veuillez utiliser les allocations parmis la liste déroulante.",""))</f>
        <v/>
      </c>
    </row>
    <row r="390" spans="1:35" x14ac:dyDescent="0.25">
      <c r="A390" s="73" t="str">
        <f>IF(CCTSAS[[#This Row],[Carrière]]="","",IF(ISNA(VLOOKUP(CCTSAS[[#This Row],[Carrière]],DROPDOWN[Dropdown9],1,FALSE))=TRUE,"Carrière: Utiliser la liste déroulante",""))</f>
        <v/>
      </c>
      <c r="B390" s="8"/>
      <c r="C390" s="8"/>
      <c r="D390" s="8"/>
      <c r="E390" s="21"/>
      <c r="F390" s="64"/>
      <c r="G390" s="8"/>
      <c r="H390" s="8"/>
      <c r="I390" s="10"/>
      <c r="J390" s="10"/>
      <c r="K390" s="9"/>
      <c r="L390" s="9"/>
      <c r="M390" s="9"/>
      <c r="N390"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90" s="9"/>
      <c r="P390" s="9"/>
      <c r="Q390" s="8"/>
      <c r="R390" s="38"/>
      <c r="S390" s="38"/>
      <c r="T390" s="38"/>
      <c r="U390" s="38"/>
      <c r="V390" s="38"/>
      <c r="W390" s="38"/>
      <c r="X390" s="38"/>
      <c r="Y390"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90" s="38"/>
      <c r="AA390"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90" s="8"/>
      <c r="AC390" s="203"/>
      <c r="AD390"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90"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90" s="503"/>
      <c r="AG390" s="44"/>
      <c r="AH390" s="189" t="str">
        <f>IF(COUNTA(CCTSAS[[#This Row],[N°]:[heures annuelles
selon contrat(s)]])=0,"",REVEX!$E$9)</f>
        <v/>
      </c>
      <c r="AI390" s="73" t="str">
        <f>IF(CCTSAS[[#This Row],[Allocation fonctions]]="","",IF(ISNA(VLOOKUP(CCTSAS[[#This Row],[Allocation fonctions]],'Variable et Dropdowns'!H385:H401,1,FALSE))=TRUE,"Veuillez utiliser les allocations parmis la liste déroulante.",""))</f>
        <v/>
      </c>
    </row>
    <row r="391" spans="1:35" x14ac:dyDescent="0.25">
      <c r="A391" s="73" t="str">
        <f>IF(CCTSAS[[#This Row],[Carrière]]="","",IF(ISNA(VLOOKUP(CCTSAS[[#This Row],[Carrière]],DROPDOWN[Dropdown9],1,FALSE))=TRUE,"Carrière: Utiliser la liste déroulante",""))</f>
        <v/>
      </c>
      <c r="B391" s="8"/>
      <c r="C391" s="8"/>
      <c r="D391" s="8"/>
      <c r="E391" s="21"/>
      <c r="F391" s="64"/>
      <c r="G391" s="8"/>
      <c r="H391" s="8"/>
      <c r="I391" s="10"/>
      <c r="J391" s="10"/>
      <c r="K391" s="9"/>
      <c r="L391" s="9"/>
      <c r="M391" s="9"/>
      <c r="N391"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91" s="9"/>
      <c r="P391" s="9"/>
      <c r="Q391" s="8"/>
      <c r="R391" s="38"/>
      <c r="S391" s="38"/>
      <c r="T391" s="38"/>
      <c r="U391" s="38"/>
      <c r="V391" s="38"/>
      <c r="W391" s="38"/>
      <c r="X391" s="38"/>
      <c r="Y391"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91" s="38"/>
      <c r="AA391"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91" s="8"/>
      <c r="AC391" s="203"/>
      <c r="AD391"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91"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91" s="503"/>
      <c r="AG391" s="44"/>
      <c r="AH391" s="189" t="str">
        <f>IF(COUNTA(CCTSAS[[#This Row],[N°]:[heures annuelles
selon contrat(s)]])=0,"",REVEX!$E$9)</f>
        <v/>
      </c>
      <c r="AI391" s="73" t="str">
        <f>IF(CCTSAS[[#This Row],[Allocation fonctions]]="","",IF(ISNA(VLOOKUP(CCTSAS[[#This Row],[Allocation fonctions]],'Variable et Dropdowns'!H386:H402,1,FALSE))=TRUE,"Veuillez utiliser les allocations parmis la liste déroulante.",""))</f>
        <v/>
      </c>
    </row>
    <row r="392" spans="1:35" x14ac:dyDescent="0.25">
      <c r="A392" s="73" t="str">
        <f>IF(CCTSAS[[#This Row],[Carrière]]="","",IF(ISNA(VLOOKUP(CCTSAS[[#This Row],[Carrière]],DROPDOWN[Dropdown9],1,FALSE))=TRUE,"Carrière: Utiliser la liste déroulante",""))</f>
        <v/>
      </c>
      <c r="B392" s="8"/>
      <c r="C392" s="8"/>
      <c r="D392" s="8"/>
      <c r="E392" s="21"/>
      <c r="F392" s="64"/>
      <c r="G392" s="8"/>
      <c r="H392" s="8"/>
      <c r="I392" s="10"/>
      <c r="J392" s="10"/>
      <c r="K392" s="9"/>
      <c r="L392" s="9"/>
      <c r="M392" s="9"/>
      <c r="N392"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92" s="9"/>
      <c r="P392" s="9"/>
      <c r="Q392" s="8"/>
      <c r="R392" s="38"/>
      <c r="S392" s="38"/>
      <c r="T392" s="38"/>
      <c r="U392" s="38"/>
      <c r="V392" s="38"/>
      <c r="W392" s="38"/>
      <c r="X392" s="38"/>
      <c r="Y392"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92" s="38"/>
      <c r="AA392"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92" s="8"/>
      <c r="AC392" s="203"/>
      <c r="AD392"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92"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92" s="503"/>
      <c r="AG392" s="44"/>
      <c r="AH392" s="189" t="str">
        <f>IF(COUNTA(CCTSAS[[#This Row],[N°]:[heures annuelles
selon contrat(s)]])=0,"",REVEX!$E$9)</f>
        <v/>
      </c>
      <c r="AI392" s="73" t="str">
        <f>IF(CCTSAS[[#This Row],[Allocation fonctions]]="","",IF(ISNA(VLOOKUP(CCTSAS[[#This Row],[Allocation fonctions]],'Variable et Dropdowns'!H387:H403,1,FALSE))=TRUE,"Veuillez utiliser les allocations parmis la liste déroulante.",""))</f>
        <v/>
      </c>
    </row>
    <row r="393" spans="1:35" x14ac:dyDescent="0.25">
      <c r="A393" s="73" t="str">
        <f>IF(CCTSAS[[#This Row],[Carrière]]="","",IF(ISNA(VLOOKUP(CCTSAS[[#This Row],[Carrière]],DROPDOWN[Dropdown9],1,FALSE))=TRUE,"Carrière: Utiliser la liste déroulante",""))</f>
        <v/>
      </c>
      <c r="B393" s="8"/>
      <c r="C393" s="8"/>
      <c r="D393" s="8"/>
      <c r="E393" s="21"/>
      <c r="F393" s="64"/>
      <c r="G393" s="8"/>
      <c r="H393" s="8"/>
      <c r="I393" s="10"/>
      <c r="J393" s="10"/>
      <c r="K393" s="9"/>
      <c r="L393" s="9"/>
      <c r="M393" s="9"/>
      <c r="N393"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93" s="9"/>
      <c r="P393" s="9"/>
      <c r="Q393" s="8"/>
      <c r="R393" s="38"/>
      <c r="S393" s="38"/>
      <c r="T393" s="38"/>
      <c r="U393" s="38"/>
      <c r="V393" s="38"/>
      <c r="W393" s="38"/>
      <c r="X393" s="38"/>
      <c r="Y393"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93" s="38"/>
      <c r="AA393"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93" s="8"/>
      <c r="AC393" s="203"/>
      <c r="AD393"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93"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93" s="503"/>
      <c r="AG393" s="44"/>
      <c r="AH393" s="189" t="str">
        <f>IF(COUNTA(CCTSAS[[#This Row],[N°]:[heures annuelles
selon contrat(s)]])=0,"",REVEX!$E$9)</f>
        <v/>
      </c>
      <c r="AI393" s="73" t="str">
        <f>IF(CCTSAS[[#This Row],[Allocation fonctions]]="","",IF(ISNA(VLOOKUP(CCTSAS[[#This Row],[Allocation fonctions]],'Variable et Dropdowns'!H388:H404,1,FALSE))=TRUE,"Veuillez utiliser les allocations parmis la liste déroulante.",""))</f>
        <v/>
      </c>
    </row>
    <row r="394" spans="1:35" x14ac:dyDescent="0.25">
      <c r="A394" s="73" t="str">
        <f>IF(CCTSAS[[#This Row],[Carrière]]="","",IF(ISNA(VLOOKUP(CCTSAS[[#This Row],[Carrière]],DROPDOWN[Dropdown9],1,FALSE))=TRUE,"Carrière: Utiliser la liste déroulante",""))</f>
        <v/>
      </c>
      <c r="B394" s="8"/>
      <c r="C394" s="8"/>
      <c r="D394" s="8"/>
      <c r="E394" s="21"/>
      <c r="F394" s="64"/>
      <c r="G394" s="8"/>
      <c r="H394" s="8"/>
      <c r="I394" s="10"/>
      <c r="J394" s="10"/>
      <c r="K394" s="9"/>
      <c r="L394" s="9"/>
      <c r="M394" s="9"/>
      <c r="N394"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94" s="9"/>
      <c r="P394" s="9"/>
      <c r="Q394" s="8"/>
      <c r="R394" s="38"/>
      <c r="S394" s="38"/>
      <c r="T394" s="38"/>
      <c r="U394" s="38"/>
      <c r="V394" s="38"/>
      <c r="W394" s="38"/>
      <c r="X394" s="38"/>
      <c r="Y394"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94" s="38"/>
      <c r="AA394"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94" s="8"/>
      <c r="AC394" s="203"/>
      <c r="AD394"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94"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94" s="503"/>
      <c r="AG394" s="44"/>
      <c r="AH394" s="189" t="str">
        <f>IF(COUNTA(CCTSAS[[#This Row],[N°]:[heures annuelles
selon contrat(s)]])=0,"",REVEX!$E$9)</f>
        <v/>
      </c>
      <c r="AI394" s="73" t="str">
        <f>IF(CCTSAS[[#This Row],[Allocation fonctions]]="","",IF(ISNA(VLOOKUP(CCTSAS[[#This Row],[Allocation fonctions]],'Variable et Dropdowns'!H389:H405,1,FALSE))=TRUE,"Veuillez utiliser les allocations parmis la liste déroulante.",""))</f>
        <v/>
      </c>
    </row>
    <row r="395" spans="1:35" x14ac:dyDescent="0.25">
      <c r="A395" s="73" t="str">
        <f>IF(CCTSAS[[#This Row],[Carrière]]="","",IF(ISNA(VLOOKUP(CCTSAS[[#This Row],[Carrière]],DROPDOWN[Dropdown9],1,FALSE))=TRUE,"Carrière: Utiliser la liste déroulante",""))</f>
        <v/>
      </c>
      <c r="B395" s="8"/>
      <c r="C395" s="8"/>
      <c r="D395" s="8"/>
      <c r="E395" s="21"/>
      <c r="F395" s="64"/>
      <c r="G395" s="8"/>
      <c r="H395" s="8"/>
      <c r="I395" s="10"/>
      <c r="J395" s="10"/>
      <c r="K395" s="9"/>
      <c r="L395" s="9"/>
      <c r="M395" s="9"/>
      <c r="N395"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95" s="9"/>
      <c r="P395" s="9"/>
      <c r="Q395" s="8"/>
      <c r="R395" s="38"/>
      <c r="S395" s="38"/>
      <c r="T395" s="38"/>
      <c r="U395" s="38"/>
      <c r="V395" s="38"/>
      <c r="W395" s="38"/>
      <c r="X395" s="38"/>
      <c r="Y395"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95" s="38"/>
      <c r="AA395"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95" s="8"/>
      <c r="AC395" s="203"/>
      <c r="AD395"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95"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95" s="503"/>
      <c r="AG395" s="44"/>
      <c r="AH395" s="189" t="str">
        <f>IF(COUNTA(CCTSAS[[#This Row],[N°]:[heures annuelles
selon contrat(s)]])=0,"",REVEX!$E$9)</f>
        <v/>
      </c>
      <c r="AI395" s="73" t="str">
        <f>IF(CCTSAS[[#This Row],[Allocation fonctions]]="","",IF(ISNA(VLOOKUP(CCTSAS[[#This Row],[Allocation fonctions]],'Variable et Dropdowns'!H390:H406,1,FALSE))=TRUE,"Veuillez utiliser les allocations parmis la liste déroulante.",""))</f>
        <v/>
      </c>
    </row>
    <row r="396" spans="1:35" x14ac:dyDescent="0.25">
      <c r="A396" s="73" t="str">
        <f>IF(CCTSAS[[#This Row],[Carrière]]="","",IF(ISNA(VLOOKUP(CCTSAS[[#This Row],[Carrière]],DROPDOWN[Dropdown9],1,FALSE))=TRUE,"Carrière: Utiliser la liste déroulante",""))</f>
        <v/>
      </c>
      <c r="B396" s="8"/>
      <c r="C396" s="8"/>
      <c r="D396" s="8"/>
      <c r="E396" s="21"/>
      <c r="F396" s="64"/>
      <c r="G396" s="8"/>
      <c r="H396" s="8"/>
      <c r="I396" s="10"/>
      <c r="J396" s="10"/>
      <c r="K396" s="9"/>
      <c r="L396" s="9"/>
      <c r="M396" s="9"/>
      <c r="N396"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96" s="9"/>
      <c r="P396" s="9"/>
      <c r="Q396" s="8"/>
      <c r="R396" s="38"/>
      <c r="S396" s="38"/>
      <c r="T396" s="38"/>
      <c r="U396" s="38"/>
      <c r="V396" s="38"/>
      <c r="W396" s="38"/>
      <c r="X396" s="38"/>
      <c r="Y396"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96" s="38"/>
      <c r="AA396"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96" s="8"/>
      <c r="AC396" s="203"/>
      <c r="AD396"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96"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96" s="503"/>
      <c r="AG396" s="44"/>
      <c r="AH396" s="189" t="str">
        <f>IF(COUNTA(CCTSAS[[#This Row],[N°]:[heures annuelles
selon contrat(s)]])=0,"",REVEX!$E$9)</f>
        <v/>
      </c>
      <c r="AI396" s="73" t="str">
        <f>IF(CCTSAS[[#This Row],[Allocation fonctions]]="","",IF(ISNA(VLOOKUP(CCTSAS[[#This Row],[Allocation fonctions]],'Variable et Dropdowns'!H391:H407,1,FALSE))=TRUE,"Veuillez utiliser les allocations parmis la liste déroulante.",""))</f>
        <v/>
      </c>
    </row>
    <row r="397" spans="1:35" x14ac:dyDescent="0.25">
      <c r="A397" s="73" t="str">
        <f>IF(CCTSAS[[#This Row],[Carrière]]="","",IF(ISNA(VLOOKUP(CCTSAS[[#This Row],[Carrière]],DROPDOWN[Dropdown9],1,FALSE))=TRUE,"Carrière: Utiliser la liste déroulante",""))</f>
        <v/>
      </c>
      <c r="B397" s="8"/>
      <c r="C397" s="8"/>
      <c r="D397" s="8"/>
      <c r="E397" s="21"/>
      <c r="F397" s="64"/>
      <c r="G397" s="8"/>
      <c r="H397" s="8"/>
      <c r="I397" s="10"/>
      <c r="J397" s="10"/>
      <c r="K397" s="9"/>
      <c r="L397" s="9"/>
      <c r="M397" s="9"/>
      <c r="N397"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97" s="9"/>
      <c r="P397" s="9"/>
      <c r="Q397" s="8"/>
      <c r="R397" s="38"/>
      <c r="S397" s="38"/>
      <c r="T397" s="38"/>
      <c r="U397" s="38"/>
      <c r="V397" s="38"/>
      <c r="W397" s="38"/>
      <c r="X397" s="38"/>
      <c r="Y397"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97" s="38"/>
      <c r="AA397"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97" s="8"/>
      <c r="AC397" s="203"/>
      <c r="AD397"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97"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97" s="503"/>
      <c r="AG397" s="44"/>
      <c r="AH397" s="189" t="str">
        <f>IF(COUNTA(CCTSAS[[#This Row],[N°]:[heures annuelles
selon contrat(s)]])=0,"",REVEX!$E$9)</f>
        <v/>
      </c>
      <c r="AI397" s="73" t="str">
        <f>IF(CCTSAS[[#This Row],[Allocation fonctions]]="","",IF(ISNA(VLOOKUP(CCTSAS[[#This Row],[Allocation fonctions]],'Variable et Dropdowns'!H392:H408,1,FALSE))=TRUE,"Veuillez utiliser les allocations parmis la liste déroulante.",""))</f>
        <v/>
      </c>
    </row>
    <row r="398" spans="1:35" x14ac:dyDescent="0.25">
      <c r="A398" s="73" t="str">
        <f>IF(CCTSAS[[#This Row],[Carrière]]="","",IF(ISNA(VLOOKUP(CCTSAS[[#This Row],[Carrière]],DROPDOWN[Dropdown9],1,FALSE))=TRUE,"Carrière: Utiliser la liste déroulante",""))</f>
        <v/>
      </c>
      <c r="B398" s="8"/>
      <c r="C398" s="8"/>
      <c r="D398" s="8"/>
      <c r="E398" s="21"/>
      <c r="F398" s="64"/>
      <c r="G398" s="8"/>
      <c r="H398" s="8"/>
      <c r="I398" s="10"/>
      <c r="J398" s="10"/>
      <c r="K398" s="9"/>
      <c r="L398" s="9"/>
      <c r="M398" s="9"/>
      <c r="N398"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98" s="9"/>
      <c r="P398" s="9"/>
      <c r="Q398" s="8"/>
      <c r="R398" s="38"/>
      <c r="S398" s="38"/>
      <c r="T398" s="38"/>
      <c r="U398" s="38"/>
      <c r="V398" s="38"/>
      <c r="W398" s="38"/>
      <c r="X398" s="38"/>
      <c r="Y398"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98" s="38"/>
      <c r="AA398"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98" s="8"/>
      <c r="AC398" s="203"/>
      <c r="AD398"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98"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98" s="503"/>
      <c r="AG398" s="44"/>
      <c r="AH398" s="189" t="str">
        <f>IF(COUNTA(CCTSAS[[#This Row],[N°]:[heures annuelles
selon contrat(s)]])=0,"",REVEX!$E$9)</f>
        <v/>
      </c>
      <c r="AI398" s="73" t="str">
        <f>IF(CCTSAS[[#This Row],[Allocation fonctions]]="","",IF(ISNA(VLOOKUP(CCTSAS[[#This Row],[Allocation fonctions]],'Variable et Dropdowns'!H393:H409,1,FALSE))=TRUE,"Veuillez utiliser les allocations parmis la liste déroulante.",""))</f>
        <v/>
      </c>
    </row>
    <row r="399" spans="1:35" x14ac:dyDescent="0.25">
      <c r="A399" s="73" t="str">
        <f>IF(CCTSAS[[#This Row],[Carrière]]="","",IF(ISNA(VLOOKUP(CCTSAS[[#This Row],[Carrière]],DROPDOWN[Dropdown9],1,FALSE))=TRUE,"Carrière: Utiliser la liste déroulante",""))</f>
        <v/>
      </c>
      <c r="B399" s="8"/>
      <c r="C399" s="8"/>
      <c r="D399" s="8"/>
      <c r="E399" s="21"/>
      <c r="F399" s="64"/>
      <c r="G399" s="8"/>
      <c r="H399" s="8"/>
      <c r="I399" s="10"/>
      <c r="J399" s="10"/>
      <c r="K399" s="9"/>
      <c r="L399" s="9"/>
      <c r="M399" s="9"/>
      <c r="N399"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399" s="9"/>
      <c r="P399" s="9"/>
      <c r="Q399" s="8"/>
      <c r="R399" s="38"/>
      <c r="S399" s="38"/>
      <c r="T399" s="38"/>
      <c r="U399" s="38"/>
      <c r="V399" s="38"/>
      <c r="W399" s="38"/>
      <c r="X399" s="38"/>
      <c r="Y399"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399" s="38"/>
      <c r="AA399"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399" s="8"/>
      <c r="AC399" s="203"/>
      <c r="AD399"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399"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399" s="503"/>
      <c r="AG399" s="44"/>
      <c r="AH399" s="189" t="str">
        <f>IF(COUNTA(CCTSAS[[#This Row],[N°]:[heures annuelles
selon contrat(s)]])=0,"",REVEX!$E$9)</f>
        <v/>
      </c>
      <c r="AI399" s="73" t="str">
        <f>IF(CCTSAS[[#This Row],[Allocation fonctions]]="","",IF(ISNA(VLOOKUP(CCTSAS[[#This Row],[Allocation fonctions]],'Variable et Dropdowns'!H394:H410,1,FALSE))=TRUE,"Veuillez utiliser les allocations parmis la liste déroulante.",""))</f>
        <v/>
      </c>
    </row>
    <row r="400" spans="1:35" x14ac:dyDescent="0.25">
      <c r="A400" s="73" t="str">
        <f>IF(CCTSAS[[#This Row],[Carrière]]="","",IF(ISNA(VLOOKUP(CCTSAS[[#This Row],[Carrière]],DROPDOWN[Dropdown9],1,FALSE))=TRUE,"Carrière: Utiliser la liste déroulante",""))</f>
        <v/>
      </c>
      <c r="B400" s="8"/>
      <c r="C400" s="8"/>
      <c r="D400" s="8"/>
      <c r="E400" s="21"/>
      <c r="F400" s="64"/>
      <c r="G400" s="8"/>
      <c r="H400" s="8"/>
      <c r="I400" s="10"/>
      <c r="J400" s="10"/>
      <c r="K400" s="9"/>
      <c r="L400" s="9"/>
      <c r="M400" s="9"/>
      <c r="N400"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00" s="9"/>
      <c r="P400" s="9"/>
      <c r="Q400" s="8"/>
      <c r="R400" s="38"/>
      <c r="S400" s="38"/>
      <c r="T400" s="38"/>
      <c r="U400" s="38"/>
      <c r="V400" s="38"/>
      <c r="W400" s="38"/>
      <c r="X400" s="38"/>
      <c r="Y400"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00" s="38"/>
      <c r="AA400"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00" s="8"/>
      <c r="AC400" s="203"/>
      <c r="AD400"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00"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00" s="503"/>
      <c r="AG400" s="44"/>
      <c r="AH400" s="189" t="str">
        <f>IF(COUNTA(CCTSAS[[#This Row],[N°]:[heures annuelles
selon contrat(s)]])=0,"",REVEX!$E$9)</f>
        <v/>
      </c>
      <c r="AI400" s="73" t="str">
        <f>IF(CCTSAS[[#This Row],[Allocation fonctions]]="","",IF(ISNA(VLOOKUP(CCTSAS[[#This Row],[Allocation fonctions]],'Variable et Dropdowns'!H395:H411,1,FALSE))=TRUE,"Veuillez utiliser les allocations parmis la liste déroulante.",""))</f>
        <v/>
      </c>
    </row>
    <row r="401" spans="1:35" x14ac:dyDescent="0.25">
      <c r="A401" s="73" t="str">
        <f>IF(CCTSAS[[#This Row],[Carrière]]="","",IF(ISNA(VLOOKUP(CCTSAS[[#This Row],[Carrière]],DROPDOWN[Dropdown9],1,FALSE))=TRUE,"Carrière: Utiliser la liste déroulante",""))</f>
        <v/>
      </c>
      <c r="B401" s="8"/>
      <c r="C401" s="8"/>
      <c r="D401" s="8"/>
      <c r="E401" s="21"/>
      <c r="F401" s="64"/>
      <c r="G401" s="8"/>
      <c r="H401" s="8"/>
      <c r="I401" s="10"/>
      <c r="J401" s="10"/>
      <c r="K401" s="9"/>
      <c r="L401" s="9"/>
      <c r="M401" s="9"/>
      <c r="N401"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01" s="9"/>
      <c r="P401" s="9"/>
      <c r="Q401" s="8"/>
      <c r="R401" s="38"/>
      <c r="S401" s="38"/>
      <c r="T401" s="38"/>
      <c r="U401" s="38"/>
      <c r="V401" s="38"/>
      <c r="W401" s="38"/>
      <c r="X401" s="38"/>
      <c r="Y401"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01" s="38"/>
      <c r="AA401"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01" s="8"/>
      <c r="AC401" s="203"/>
      <c r="AD401"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01"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01" s="503"/>
      <c r="AG401" s="44"/>
      <c r="AH401" s="189" t="str">
        <f>IF(COUNTA(CCTSAS[[#This Row],[N°]:[heures annuelles
selon contrat(s)]])=0,"",REVEX!$E$9)</f>
        <v/>
      </c>
      <c r="AI401" s="73" t="str">
        <f>IF(CCTSAS[[#This Row],[Allocation fonctions]]="","",IF(ISNA(VLOOKUP(CCTSAS[[#This Row],[Allocation fonctions]],'Variable et Dropdowns'!H396:H412,1,FALSE))=TRUE,"Veuillez utiliser les allocations parmis la liste déroulante.",""))</f>
        <v/>
      </c>
    </row>
    <row r="402" spans="1:35" x14ac:dyDescent="0.25">
      <c r="A402" s="73" t="str">
        <f>IF(CCTSAS[[#This Row],[Carrière]]="","",IF(ISNA(VLOOKUP(CCTSAS[[#This Row],[Carrière]],DROPDOWN[Dropdown9],1,FALSE))=TRUE,"Carrière: Utiliser la liste déroulante",""))</f>
        <v/>
      </c>
      <c r="B402" s="8"/>
      <c r="C402" s="8"/>
      <c r="D402" s="8"/>
      <c r="E402" s="21"/>
      <c r="F402" s="64"/>
      <c r="G402" s="8"/>
      <c r="H402" s="8"/>
      <c r="I402" s="10"/>
      <c r="J402" s="10"/>
      <c r="K402" s="9"/>
      <c r="L402" s="9"/>
      <c r="M402" s="9"/>
      <c r="N402"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02" s="9"/>
      <c r="P402" s="9"/>
      <c r="Q402" s="8"/>
      <c r="R402" s="38"/>
      <c r="S402" s="38"/>
      <c r="T402" s="38"/>
      <c r="U402" s="38"/>
      <c r="V402" s="38"/>
      <c r="W402" s="38"/>
      <c r="X402" s="38"/>
      <c r="Y402"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02" s="38"/>
      <c r="AA402"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02" s="8"/>
      <c r="AC402" s="203"/>
      <c r="AD402"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02"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02" s="503"/>
      <c r="AG402" s="44"/>
      <c r="AH402" s="189" t="str">
        <f>IF(COUNTA(CCTSAS[[#This Row],[N°]:[heures annuelles
selon contrat(s)]])=0,"",REVEX!$E$9)</f>
        <v/>
      </c>
      <c r="AI402" s="73" t="str">
        <f>IF(CCTSAS[[#This Row],[Allocation fonctions]]="","",IF(ISNA(VLOOKUP(CCTSAS[[#This Row],[Allocation fonctions]],'Variable et Dropdowns'!H397:H413,1,FALSE))=TRUE,"Veuillez utiliser les allocations parmis la liste déroulante.",""))</f>
        <v/>
      </c>
    </row>
    <row r="403" spans="1:35" x14ac:dyDescent="0.25">
      <c r="A403" s="73" t="str">
        <f>IF(CCTSAS[[#This Row],[Carrière]]="","",IF(ISNA(VLOOKUP(CCTSAS[[#This Row],[Carrière]],DROPDOWN[Dropdown9],1,FALSE))=TRUE,"Carrière: Utiliser la liste déroulante",""))</f>
        <v/>
      </c>
      <c r="B403" s="8"/>
      <c r="C403" s="8"/>
      <c r="D403" s="8"/>
      <c r="E403" s="21"/>
      <c r="F403" s="64"/>
      <c r="G403" s="8"/>
      <c r="H403" s="8"/>
      <c r="I403" s="10"/>
      <c r="J403" s="10"/>
      <c r="K403" s="9"/>
      <c r="L403" s="9"/>
      <c r="M403" s="9"/>
      <c r="N403"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03" s="9"/>
      <c r="P403" s="9"/>
      <c r="Q403" s="8"/>
      <c r="R403" s="38"/>
      <c r="S403" s="38"/>
      <c r="T403" s="38"/>
      <c r="U403" s="38"/>
      <c r="V403" s="38"/>
      <c r="W403" s="38"/>
      <c r="X403" s="38"/>
      <c r="Y403"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03" s="38"/>
      <c r="AA403"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03" s="8"/>
      <c r="AC403" s="203"/>
      <c r="AD403"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03"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03" s="503"/>
      <c r="AG403" s="44"/>
      <c r="AH403" s="189" t="str">
        <f>IF(COUNTA(CCTSAS[[#This Row],[N°]:[heures annuelles
selon contrat(s)]])=0,"",REVEX!$E$9)</f>
        <v/>
      </c>
      <c r="AI403" s="73" t="str">
        <f>IF(CCTSAS[[#This Row],[Allocation fonctions]]="","",IF(ISNA(VLOOKUP(CCTSAS[[#This Row],[Allocation fonctions]],'Variable et Dropdowns'!H398:H414,1,FALSE))=TRUE,"Veuillez utiliser les allocations parmis la liste déroulante.",""))</f>
        <v/>
      </c>
    </row>
    <row r="404" spans="1:35" x14ac:dyDescent="0.25">
      <c r="A404" s="73" t="str">
        <f>IF(CCTSAS[[#This Row],[Carrière]]="","",IF(ISNA(VLOOKUP(CCTSAS[[#This Row],[Carrière]],DROPDOWN[Dropdown9],1,FALSE))=TRUE,"Carrière: Utiliser la liste déroulante",""))</f>
        <v/>
      </c>
      <c r="B404" s="8"/>
      <c r="C404" s="8"/>
      <c r="D404" s="8"/>
      <c r="E404" s="21"/>
      <c r="F404" s="64"/>
      <c r="G404" s="8"/>
      <c r="H404" s="8"/>
      <c r="I404" s="10"/>
      <c r="J404" s="10"/>
      <c r="K404" s="9"/>
      <c r="L404" s="9"/>
      <c r="M404" s="9"/>
      <c r="N404"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04" s="9"/>
      <c r="P404" s="9"/>
      <c r="Q404" s="8"/>
      <c r="R404" s="38"/>
      <c r="S404" s="38"/>
      <c r="T404" s="38"/>
      <c r="U404" s="38"/>
      <c r="V404" s="38"/>
      <c r="W404" s="38"/>
      <c r="X404" s="38"/>
      <c r="Y404"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04" s="38"/>
      <c r="AA404"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04" s="8"/>
      <c r="AC404" s="203"/>
      <c r="AD404"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04"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04" s="503"/>
      <c r="AG404" s="44"/>
      <c r="AH404" s="189" t="str">
        <f>IF(COUNTA(CCTSAS[[#This Row],[N°]:[heures annuelles
selon contrat(s)]])=0,"",REVEX!$E$9)</f>
        <v/>
      </c>
      <c r="AI404" s="73" t="str">
        <f>IF(CCTSAS[[#This Row],[Allocation fonctions]]="","",IF(ISNA(VLOOKUP(CCTSAS[[#This Row],[Allocation fonctions]],'Variable et Dropdowns'!H399:H415,1,FALSE))=TRUE,"Veuillez utiliser les allocations parmis la liste déroulante.",""))</f>
        <v/>
      </c>
    </row>
    <row r="405" spans="1:35" x14ac:dyDescent="0.25">
      <c r="A405" s="73" t="str">
        <f>IF(CCTSAS[[#This Row],[Carrière]]="","",IF(ISNA(VLOOKUP(CCTSAS[[#This Row],[Carrière]],DROPDOWN[Dropdown9],1,FALSE))=TRUE,"Carrière: Utiliser la liste déroulante",""))</f>
        <v/>
      </c>
      <c r="B405" s="8"/>
      <c r="C405" s="8"/>
      <c r="D405" s="8"/>
      <c r="E405" s="21"/>
      <c r="F405" s="64"/>
      <c r="G405" s="8"/>
      <c r="H405" s="8"/>
      <c r="I405" s="10"/>
      <c r="J405" s="10"/>
      <c r="K405" s="9"/>
      <c r="L405" s="9"/>
      <c r="M405" s="9"/>
      <c r="N405"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05" s="9"/>
      <c r="P405" s="9"/>
      <c r="Q405" s="8"/>
      <c r="R405" s="38"/>
      <c r="S405" s="38"/>
      <c r="T405" s="38"/>
      <c r="U405" s="38"/>
      <c r="V405" s="38"/>
      <c r="W405" s="38"/>
      <c r="X405" s="38"/>
      <c r="Y405"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05" s="38"/>
      <c r="AA405"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05" s="8"/>
      <c r="AC405" s="203"/>
      <c r="AD405"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05"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05" s="503"/>
      <c r="AG405" s="44"/>
      <c r="AH405" s="189" t="str">
        <f>IF(COUNTA(CCTSAS[[#This Row],[N°]:[heures annuelles
selon contrat(s)]])=0,"",REVEX!$E$9)</f>
        <v/>
      </c>
      <c r="AI405" s="73" t="str">
        <f>IF(CCTSAS[[#This Row],[Allocation fonctions]]="","",IF(ISNA(VLOOKUP(CCTSAS[[#This Row],[Allocation fonctions]],'Variable et Dropdowns'!H400:H416,1,FALSE))=TRUE,"Veuillez utiliser les allocations parmis la liste déroulante.",""))</f>
        <v/>
      </c>
    </row>
    <row r="406" spans="1:35" x14ac:dyDescent="0.25">
      <c r="A406" s="73" t="str">
        <f>IF(CCTSAS[[#This Row],[Carrière]]="","",IF(ISNA(VLOOKUP(CCTSAS[[#This Row],[Carrière]],DROPDOWN[Dropdown9],1,FALSE))=TRUE,"Carrière: Utiliser la liste déroulante",""))</f>
        <v/>
      </c>
      <c r="B406" s="8"/>
      <c r="C406" s="8"/>
      <c r="D406" s="8"/>
      <c r="E406" s="21"/>
      <c r="F406" s="64"/>
      <c r="G406" s="8"/>
      <c r="H406" s="8"/>
      <c r="I406" s="10"/>
      <c r="J406" s="10"/>
      <c r="K406" s="9"/>
      <c r="L406" s="9"/>
      <c r="M406" s="9"/>
      <c r="N406"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06" s="9"/>
      <c r="P406" s="9"/>
      <c r="Q406" s="8"/>
      <c r="R406" s="38"/>
      <c r="S406" s="38"/>
      <c r="T406" s="38"/>
      <c r="U406" s="38"/>
      <c r="V406" s="38"/>
      <c r="W406" s="38"/>
      <c r="X406" s="38"/>
      <c r="Y406"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06" s="38"/>
      <c r="AA406"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06" s="8"/>
      <c r="AC406" s="203"/>
      <c r="AD406"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06"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06" s="503"/>
      <c r="AG406" s="44"/>
      <c r="AH406" s="189" t="str">
        <f>IF(COUNTA(CCTSAS[[#This Row],[N°]:[heures annuelles
selon contrat(s)]])=0,"",REVEX!$E$9)</f>
        <v/>
      </c>
      <c r="AI406" s="73" t="str">
        <f>IF(CCTSAS[[#This Row],[Allocation fonctions]]="","",IF(ISNA(VLOOKUP(CCTSAS[[#This Row],[Allocation fonctions]],'Variable et Dropdowns'!H401:H417,1,FALSE))=TRUE,"Veuillez utiliser les allocations parmis la liste déroulante.",""))</f>
        <v/>
      </c>
    </row>
    <row r="407" spans="1:35" x14ac:dyDescent="0.25">
      <c r="A407" s="73" t="str">
        <f>IF(CCTSAS[[#This Row],[Carrière]]="","",IF(ISNA(VLOOKUP(CCTSAS[[#This Row],[Carrière]],DROPDOWN[Dropdown9],1,FALSE))=TRUE,"Carrière: Utiliser la liste déroulante",""))</f>
        <v/>
      </c>
      <c r="B407" s="8"/>
      <c r="C407" s="8"/>
      <c r="D407" s="8"/>
      <c r="E407" s="21"/>
      <c r="F407" s="64"/>
      <c r="G407" s="8"/>
      <c r="H407" s="8"/>
      <c r="I407" s="10"/>
      <c r="J407" s="10"/>
      <c r="K407" s="9"/>
      <c r="L407" s="9"/>
      <c r="M407" s="9"/>
      <c r="N407"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07" s="9"/>
      <c r="P407" s="9"/>
      <c r="Q407" s="8"/>
      <c r="R407" s="38"/>
      <c r="S407" s="38"/>
      <c r="T407" s="38"/>
      <c r="U407" s="38"/>
      <c r="V407" s="38"/>
      <c r="W407" s="38"/>
      <c r="X407" s="38"/>
      <c r="Y407"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07" s="38"/>
      <c r="AA407"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07" s="8"/>
      <c r="AC407" s="203"/>
      <c r="AD407"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07"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07" s="503"/>
      <c r="AG407" s="44"/>
      <c r="AH407" s="189" t="str">
        <f>IF(COUNTA(CCTSAS[[#This Row],[N°]:[heures annuelles
selon contrat(s)]])=0,"",REVEX!$E$9)</f>
        <v/>
      </c>
      <c r="AI407" s="73" t="str">
        <f>IF(CCTSAS[[#This Row],[Allocation fonctions]]="","",IF(ISNA(VLOOKUP(CCTSAS[[#This Row],[Allocation fonctions]],'Variable et Dropdowns'!H402:H418,1,FALSE))=TRUE,"Veuillez utiliser les allocations parmis la liste déroulante.",""))</f>
        <v/>
      </c>
    </row>
    <row r="408" spans="1:35" x14ac:dyDescent="0.25">
      <c r="A408" s="73" t="str">
        <f>IF(CCTSAS[[#This Row],[Carrière]]="","",IF(ISNA(VLOOKUP(CCTSAS[[#This Row],[Carrière]],DROPDOWN[Dropdown9],1,FALSE))=TRUE,"Carrière: Utiliser la liste déroulante",""))</f>
        <v/>
      </c>
      <c r="B408" s="8"/>
      <c r="C408" s="8"/>
      <c r="D408" s="8"/>
      <c r="E408" s="21"/>
      <c r="F408" s="64"/>
      <c r="G408" s="8"/>
      <c r="H408" s="8"/>
      <c r="I408" s="10"/>
      <c r="J408" s="10"/>
      <c r="K408" s="9"/>
      <c r="L408" s="9"/>
      <c r="M408" s="9"/>
      <c r="N408"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08" s="9"/>
      <c r="P408" s="9"/>
      <c r="Q408" s="8"/>
      <c r="R408" s="38"/>
      <c r="S408" s="38"/>
      <c r="T408" s="38"/>
      <c r="U408" s="38"/>
      <c r="V408" s="38"/>
      <c r="W408" s="38"/>
      <c r="X408" s="38"/>
      <c r="Y408"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08" s="38"/>
      <c r="AA408"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08" s="8"/>
      <c r="AC408" s="203"/>
      <c r="AD408"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08"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08" s="503"/>
      <c r="AG408" s="44"/>
      <c r="AH408" s="189" t="str">
        <f>IF(COUNTA(CCTSAS[[#This Row],[N°]:[heures annuelles
selon contrat(s)]])=0,"",REVEX!$E$9)</f>
        <v/>
      </c>
      <c r="AI408" s="73" t="str">
        <f>IF(CCTSAS[[#This Row],[Allocation fonctions]]="","",IF(ISNA(VLOOKUP(CCTSAS[[#This Row],[Allocation fonctions]],'Variable et Dropdowns'!H403:H419,1,FALSE))=TRUE,"Veuillez utiliser les allocations parmis la liste déroulante.",""))</f>
        <v/>
      </c>
    </row>
    <row r="409" spans="1:35" x14ac:dyDescent="0.25">
      <c r="A409" s="73" t="str">
        <f>IF(CCTSAS[[#This Row],[Carrière]]="","",IF(ISNA(VLOOKUP(CCTSAS[[#This Row],[Carrière]],DROPDOWN[Dropdown9],1,FALSE))=TRUE,"Carrière: Utiliser la liste déroulante",""))</f>
        <v/>
      </c>
      <c r="B409" s="8"/>
      <c r="C409" s="8"/>
      <c r="D409" s="8"/>
      <c r="E409" s="21"/>
      <c r="F409" s="64"/>
      <c r="G409" s="8"/>
      <c r="H409" s="8"/>
      <c r="I409" s="10"/>
      <c r="J409" s="10"/>
      <c r="K409" s="9"/>
      <c r="L409" s="9"/>
      <c r="M409" s="9"/>
      <c r="N409"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09" s="9"/>
      <c r="P409" s="9"/>
      <c r="Q409" s="8"/>
      <c r="R409" s="38"/>
      <c r="S409" s="38"/>
      <c r="T409" s="38"/>
      <c r="U409" s="38"/>
      <c r="V409" s="38"/>
      <c r="W409" s="38"/>
      <c r="X409" s="38"/>
      <c r="Y409"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09" s="38"/>
      <c r="AA409"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09" s="8"/>
      <c r="AC409" s="203"/>
      <c r="AD409"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09"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09" s="503"/>
      <c r="AG409" s="44"/>
      <c r="AH409" s="189" t="str">
        <f>IF(COUNTA(CCTSAS[[#This Row],[N°]:[heures annuelles
selon contrat(s)]])=0,"",REVEX!$E$9)</f>
        <v/>
      </c>
      <c r="AI409" s="73" t="str">
        <f>IF(CCTSAS[[#This Row],[Allocation fonctions]]="","",IF(ISNA(VLOOKUP(CCTSAS[[#This Row],[Allocation fonctions]],'Variable et Dropdowns'!H404:H420,1,FALSE))=TRUE,"Veuillez utiliser les allocations parmis la liste déroulante.",""))</f>
        <v/>
      </c>
    </row>
    <row r="410" spans="1:35" x14ac:dyDescent="0.25">
      <c r="A410" s="73" t="str">
        <f>IF(CCTSAS[[#This Row],[Carrière]]="","",IF(ISNA(VLOOKUP(CCTSAS[[#This Row],[Carrière]],DROPDOWN[Dropdown9],1,FALSE))=TRUE,"Carrière: Utiliser la liste déroulante",""))</f>
        <v/>
      </c>
      <c r="B410" s="8"/>
      <c r="C410" s="8"/>
      <c r="D410" s="8"/>
      <c r="E410" s="21"/>
      <c r="F410" s="64"/>
      <c r="G410" s="8"/>
      <c r="H410" s="8"/>
      <c r="I410" s="10"/>
      <c r="J410" s="10"/>
      <c r="K410" s="9"/>
      <c r="L410" s="9"/>
      <c r="M410" s="9"/>
      <c r="N410"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10" s="9"/>
      <c r="P410" s="9"/>
      <c r="Q410" s="8"/>
      <c r="R410" s="38"/>
      <c r="S410" s="38"/>
      <c r="T410" s="38"/>
      <c r="U410" s="38"/>
      <c r="V410" s="38"/>
      <c r="W410" s="38"/>
      <c r="X410" s="38"/>
      <c r="Y410"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10" s="38"/>
      <c r="AA410"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10" s="8"/>
      <c r="AC410" s="203"/>
      <c r="AD410"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10"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10" s="503"/>
      <c r="AG410" s="44"/>
      <c r="AH410" s="189" t="str">
        <f>IF(COUNTA(CCTSAS[[#This Row],[N°]:[heures annuelles
selon contrat(s)]])=0,"",REVEX!$E$9)</f>
        <v/>
      </c>
      <c r="AI410" s="73" t="str">
        <f>IF(CCTSAS[[#This Row],[Allocation fonctions]]="","",IF(ISNA(VLOOKUP(CCTSAS[[#This Row],[Allocation fonctions]],'Variable et Dropdowns'!H405:H421,1,FALSE))=TRUE,"Veuillez utiliser les allocations parmis la liste déroulante.",""))</f>
        <v/>
      </c>
    </row>
    <row r="411" spans="1:35" x14ac:dyDescent="0.25">
      <c r="A411" s="73" t="str">
        <f>IF(CCTSAS[[#This Row],[Carrière]]="","",IF(ISNA(VLOOKUP(CCTSAS[[#This Row],[Carrière]],DROPDOWN[Dropdown9],1,FALSE))=TRUE,"Carrière: Utiliser la liste déroulante",""))</f>
        <v/>
      </c>
      <c r="B411" s="8"/>
      <c r="C411" s="8"/>
      <c r="D411" s="8"/>
      <c r="E411" s="21"/>
      <c r="F411" s="64"/>
      <c r="G411" s="8"/>
      <c r="H411" s="8"/>
      <c r="I411" s="10"/>
      <c r="J411" s="10"/>
      <c r="K411" s="9"/>
      <c r="L411" s="9"/>
      <c r="M411" s="9"/>
      <c r="N411"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11" s="9"/>
      <c r="P411" s="9"/>
      <c r="Q411" s="8"/>
      <c r="R411" s="38"/>
      <c r="S411" s="38"/>
      <c r="T411" s="38"/>
      <c r="U411" s="38"/>
      <c r="V411" s="38"/>
      <c r="W411" s="38"/>
      <c r="X411" s="38"/>
      <c r="Y411"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11" s="38"/>
      <c r="AA411"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11" s="8"/>
      <c r="AC411" s="203"/>
      <c r="AD411"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11"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11" s="503"/>
      <c r="AG411" s="44"/>
      <c r="AH411" s="189" t="str">
        <f>IF(COUNTA(CCTSAS[[#This Row],[N°]:[heures annuelles
selon contrat(s)]])=0,"",REVEX!$E$9)</f>
        <v/>
      </c>
      <c r="AI411" s="73" t="str">
        <f>IF(CCTSAS[[#This Row],[Allocation fonctions]]="","",IF(ISNA(VLOOKUP(CCTSAS[[#This Row],[Allocation fonctions]],'Variable et Dropdowns'!H406:H422,1,FALSE))=TRUE,"Veuillez utiliser les allocations parmis la liste déroulante.",""))</f>
        <v/>
      </c>
    </row>
    <row r="412" spans="1:35" x14ac:dyDescent="0.25">
      <c r="A412" s="73" t="str">
        <f>IF(CCTSAS[[#This Row],[Carrière]]="","",IF(ISNA(VLOOKUP(CCTSAS[[#This Row],[Carrière]],DROPDOWN[Dropdown9],1,FALSE))=TRUE,"Carrière: Utiliser la liste déroulante",""))</f>
        <v/>
      </c>
      <c r="B412" s="8"/>
      <c r="C412" s="8"/>
      <c r="D412" s="8"/>
      <c r="E412" s="21"/>
      <c r="F412" s="64"/>
      <c r="G412" s="8"/>
      <c r="H412" s="8"/>
      <c r="I412" s="10"/>
      <c r="J412" s="10"/>
      <c r="K412" s="9"/>
      <c r="L412" s="9"/>
      <c r="M412" s="9"/>
      <c r="N412"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12" s="9"/>
      <c r="P412" s="9"/>
      <c r="Q412" s="8"/>
      <c r="R412" s="38"/>
      <c r="S412" s="38"/>
      <c r="T412" s="38"/>
      <c r="U412" s="38"/>
      <c r="V412" s="38"/>
      <c r="W412" s="38"/>
      <c r="X412" s="38"/>
      <c r="Y412"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12" s="38"/>
      <c r="AA412"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12" s="8"/>
      <c r="AC412" s="203"/>
      <c r="AD412"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12"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12" s="503"/>
      <c r="AG412" s="44"/>
      <c r="AH412" s="189" t="str">
        <f>IF(COUNTA(CCTSAS[[#This Row],[N°]:[heures annuelles
selon contrat(s)]])=0,"",REVEX!$E$9)</f>
        <v/>
      </c>
      <c r="AI412" s="73" t="str">
        <f>IF(CCTSAS[[#This Row],[Allocation fonctions]]="","",IF(ISNA(VLOOKUP(CCTSAS[[#This Row],[Allocation fonctions]],'Variable et Dropdowns'!H407:H423,1,FALSE))=TRUE,"Veuillez utiliser les allocations parmis la liste déroulante.",""))</f>
        <v/>
      </c>
    </row>
    <row r="413" spans="1:35" x14ac:dyDescent="0.25">
      <c r="A413" s="73" t="str">
        <f>IF(CCTSAS[[#This Row],[Carrière]]="","",IF(ISNA(VLOOKUP(CCTSAS[[#This Row],[Carrière]],DROPDOWN[Dropdown9],1,FALSE))=TRUE,"Carrière: Utiliser la liste déroulante",""))</f>
        <v/>
      </c>
      <c r="B413" s="8"/>
      <c r="C413" s="8"/>
      <c r="D413" s="8"/>
      <c r="E413" s="21"/>
      <c r="F413" s="64"/>
      <c r="G413" s="8"/>
      <c r="H413" s="8"/>
      <c r="I413" s="10"/>
      <c r="J413" s="10"/>
      <c r="K413" s="9"/>
      <c r="L413" s="9"/>
      <c r="M413" s="9"/>
      <c r="N413"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13" s="9"/>
      <c r="P413" s="9"/>
      <c r="Q413" s="8"/>
      <c r="R413" s="38"/>
      <c r="S413" s="38"/>
      <c r="T413" s="38"/>
      <c r="U413" s="38"/>
      <c r="V413" s="38"/>
      <c r="W413" s="38"/>
      <c r="X413" s="38"/>
      <c r="Y413"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13" s="38"/>
      <c r="AA413"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13" s="8"/>
      <c r="AC413" s="203"/>
      <c r="AD413"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13"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13" s="503"/>
      <c r="AG413" s="44"/>
      <c r="AH413" s="189" t="str">
        <f>IF(COUNTA(CCTSAS[[#This Row],[N°]:[heures annuelles
selon contrat(s)]])=0,"",REVEX!$E$9)</f>
        <v/>
      </c>
      <c r="AI413" s="73" t="str">
        <f>IF(CCTSAS[[#This Row],[Allocation fonctions]]="","",IF(ISNA(VLOOKUP(CCTSAS[[#This Row],[Allocation fonctions]],'Variable et Dropdowns'!H408:H424,1,FALSE))=TRUE,"Veuillez utiliser les allocations parmis la liste déroulante.",""))</f>
        <v/>
      </c>
    </row>
    <row r="414" spans="1:35" x14ac:dyDescent="0.25">
      <c r="A414" s="73" t="str">
        <f>IF(CCTSAS[[#This Row],[Carrière]]="","",IF(ISNA(VLOOKUP(CCTSAS[[#This Row],[Carrière]],DROPDOWN[Dropdown9],1,FALSE))=TRUE,"Carrière: Utiliser la liste déroulante",""))</f>
        <v/>
      </c>
      <c r="B414" s="8"/>
      <c r="C414" s="8"/>
      <c r="D414" s="8"/>
      <c r="E414" s="21"/>
      <c r="F414" s="64"/>
      <c r="G414" s="8"/>
      <c r="H414" s="8"/>
      <c r="I414" s="10"/>
      <c r="J414" s="10"/>
      <c r="K414" s="9"/>
      <c r="L414" s="9"/>
      <c r="M414" s="9"/>
      <c r="N414"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14" s="9"/>
      <c r="P414" s="9"/>
      <c r="Q414" s="8"/>
      <c r="R414" s="38"/>
      <c r="S414" s="38"/>
      <c r="T414" s="38"/>
      <c r="U414" s="38"/>
      <c r="V414" s="38"/>
      <c r="W414" s="38"/>
      <c r="X414" s="38"/>
      <c r="Y414"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14" s="38"/>
      <c r="AA414"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14" s="8"/>
      <c r="AC414" s="203"/>
      <c r="AD414"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14"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14" s="503"/>
      <c r="AG414" s="44"/>
      <c r="AH414" s="189" t="str">
        <f>IF(COUNTA(CCTSAS[[#This Row],[N°]:[heures annuelles
selon contrat(s)]])=0,"",REVEX!$E$9)</f>
        <v/>
      </c>
      <c r="AI414" s="73" t="str">
        <f>IF(CCTSAS[[#This Row],[Allocation fonctions]]="","",IF(ISNA(VLOOKUP(CCTSAS[[#This Row],[Allocation fonctions]],'Variable et Dropdowns'!H409:H425,1,FALSE))=TRUE,"Veuillez utiliser les allocations parmis la liste déroulante.",""))</f>
        <v/>
      </c>
    </row>
    <row r="415" spans="1:35" x14ac:dyDescent="0.25">
      <c r="A415" s="73" t="str">
        <f>IF(CCTSAS[[#This Row],[Carrière]]="","",IF(ISNA(VLOOKUP(CCTSAS[[#This Row],[Carrière]],DROPDOWN[Dropdown9],1,FALSE))=TRUE,"Carrière: Utiliser la liste déroulante",""))</f>
        <v/>
      </c>
      <c r="B415" s="8"/>
      <c r="C415" s="8"/>
      <c r="D415" s="8"/>
      <c r="E415" s="21"/>
      <c r="F415" s="64"/>
      <c r="G415" s="8"/>
      <c r="H415" s="8"/>
      <c r="I415" s="10"/>
      <c r="J415" s="10"/>
      <c r="K415" s="9"/>
      <c r="L415" s="9"/>
      <c r="M415" s="9"/>
      <c r="N415"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15" s="9"/>
      <c r="P415" s="9"/>
      <c r="Q415" s="8"/>
      <c r="R415" s="38"/>
      <c r="S415" s="38"/>
      <c r="T415" s="38"/>
      <c r="U415" s="38"/>
      <c r="V415" s="38"/>
      <c r="W415" s="38"/>
      <c r="X415" s="38"/>
      <c r="Y415"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15" s="38"/>
      <c r="AA415"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15" s="8"/>
      <c r="AC415" s="203"/>
      <c r="AD415"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15"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15" s="503"/>
      <c r="AG415" s="44"/>
      <c r="AH415" s="189" t="str">
        <f>IF(COUNTA(CCTSAS[[#This Row],[N°]:[heures annuelles
selon contrat(s)]])=0,"",REVEX!$E$9)</f>
        <v/>
      </c>
      <c r="AI415" s="73" t="str">
        <f>IF(CCTSAS[[#This Row],[Allocation fonctions]]="","",IF(ISNA(VLOOKUP(CCTSAS[[#This Row],[Allocation fonctions]],'Variable et Dropdowns'!H410:H426,1,FALSE))=TRUE,"Veuillez utiliser les allocations parmis la liste déroulante.",""))</f>
        <v/>
      </c>
    </row>
    <row r="416" spans="1:35" x14ac:dyDescent="0.25">
      <c r="A416" s="73" t="str">
        <f>IF(CCTSAS[[#This Row],[Carrière]]="","",IF(ISNA(VLOOKUP(CCTSAS[[#This Row],[Carrière]],DROPDOWN[Dropdown9],1,FALSE))=TRUE,"Carrière: Utiliser la liste déroulante",""))</f>
        <v/>
      </c>
      <c r="B416" s="8"/>
      <c r="C416" s="8"/>
      <c r="D416" s="8"/>
      <c r="E416" s="21"/>
      <c r="F416" s="64"/>
      <c r="G416" s="8"/>
      <c r="H416" s="8"/>
      <c r="I416" s="10"/>
      <c r="J416" s="10"/>
      <c r="K416" s="9"/>
      <c r="L416" s="9"/>
      <c r="M416" s="9"/>
      <c r="N416"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16" s="9"/>
      <c r="P416" s="9"/>
      <c r="Q416" s="8"/>
      <c r="R416" s="38"/>
      <c r="S416" s="38"/>
      <c r="T416" s="38"/>
      <c r="U416" s="38"/>
      <c r="V416" s="38"/>
      <c r="W416" s="38"/>
      <c r="X416" s="38"/>
      <c r="Y416"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16" s="38"/>
      <c r="AA416"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16" s="8"/>
      <c r="AC416" s="203"/>
      <c r="AD416"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16"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16" s="503"/>
      <c r="AG416" s="44"/>
      <c r="AH416" s="189" t="str">
        <f>IF(COUNTA(CCTSAS[[#This Row],[N°]:[heures annuelles
selon contrat(s)]])=0,"",REVEX!$E$9)</f>
        <v/>
      </c>
      <c r="AI416" s="73" t="str">
        <f>IF(CCTSAS[[#This Row],[Allocation fonctions]]="","",IF(ISNA(VLOOKUP(CCTSAS[[#This Row],[Allocation fonctions]],'Variable et Dropdowns'!H411:H427,1,FALSE))=TRUE,"Veuillez utiliser les allocations parmis la liste déroulante.",""))</f>
        <v/>
      </c>
    </row>
    <row r="417" spans="1:35" x14ac:dyDescent="0.25">
      <c r="A417" s="73" t="str">
        <f>IF(CCTSAS[[#This Row],[Carrière]]="","",IF(ISNA(VLOOKUP(CCTSAS[[#This Row],[Carrière]],DROPDOWN[Dropdown9],1,FALSE))=TRUE,"Carrière: Utiliser la liste déroulante",""))</f>
        <v/>
      </c>
      <c r="B417" s="8"/>
      <c r="C417" s="8"/>
      <c r="D417" s="8"/>
      <c r="E417" s="21"/>
      <c r="F417" s="64"/>
      <c r="G417" s="8"/>
      <c r="H417" s="8"/>
      <c r="I417" s="10"/>
      <c r="J417" s="10"/>
      <c r="K417" s="9"/>
      <c r="L417" s="9"/>
      <c r="M417" s="9"/>
      <c r="N417"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17" s="9"/>
      <c r="P417" s="9"/>
      <c r="Q417" s="8"/>
      <c r="R417" s="38"/>
      <c r="S417" s="38"/>
      <c r="T417" s="38"/>
      <c r="U417" s="38"/>
      <c r="V417" s="38"/>
      <c r="W417" s="38"/>
      <c r="X417" s="38"/>
      <c r="Y417"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17" s="38"/>
      <c r="AA417"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17" s="8"/>
      <c r="AC417" s="203"/>
      <c r="AD417"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17"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17" s="503"/>
      <c r="AG417" s="44"/>
      <c r="AH417" s="189" t="str">
        <f>IF(COUNTA(CCTSAS[[#This Row],[N°]:[heures annuelles
selon contrat(s)]])=0,"",REVEX!$E$9)</f>
        <v/>
      </c>
      <c r="AI417" s="73" t="str">
        <f>IF(CCTSAS[[#This Row],[Allocation fonctions]]="","",IF(ISNA(VLOOKUP(CCTSAS[[#This Row],[Allocation fonctions]],'Variable et Dropdowns'!H412:H428,1,FALSE))=TRUE,"Veuillez utiliser les allocations parmis la liste déroulante.",""))</f>
        <v/>
      </c>
    </row>
    <row r="418" spans="1:35" x14ac:dyDescent="0.25">
      <c r="A418" s="73" t="str">
        <f>IF(CCTSAS[[#This Row],[Carrière]]="","",IF(ISNA(VLOOKUP(CCTSAS[[#This Row],[Carrière]],DROPDOWN[Dropdown9],1,FALSE))=TRUE,"Carrière: Utiliser la liste déroulante",""))</f>
        <v/>
      </c>
      <c r="B418" s="8"/>
      <c r="C418" s="8"/>
      <c r="D418" s="8"/>
      <c r="E418" s="21"/>
      <c r="F418" s="64"/>
      <c r="G418" s="8"/>
      <c r="H418" s="8"/>
      <c r="I418" s="10"/>
      <c r="J418" s="10"/>
      <c r="K418" s="9"/>
      <c r="L418" s="9"/>
      <c r="M418" s="9"/>
      <c r="N418"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18" s="9"/>
      <c r="P418" s="9"/>
      <c r="Q418" s="8"/>
      <c r="R418" s="38"/>
      <c r="S418" s="38"/>
      <c r="T418" s="38"/>
      <c r="U418" s="38"/>
      <c r="V418" s="38"/>
      <c r="W418" s="38"/>
      <c r="X418" s="38"/>
      <c r="Y418"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18" s="38"/>
      <c r="AA418"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18" s="8"/>
      <c r="AC418" s="203"/>
      <c r="AD418"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18"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18" s="503"/>
      <c r="AG418" s="44"/>
      <c r="AH418" s="189" t="str">
        <f>IF(COUNTA(CCTSAS[[#This Row],[N°]:[heures annuelles
selon contrat(s)]])=0,"",REVEX!$E$9)</f>
        <v/>
      </c>
      <c r="AI418" s="73" t="str">
        <f>IF(CCTSAS[[#This Row],[Allocation fonctions]]="","",IF(ISNA(VLOOKUP(CCTSAS[[#This Row],[Allocation fonctions]],'Variable et Dropdowns'!H413:H429,1,FALSE))=TRUE,"Veuillez utiliser les allocations parmis la liste déroulante.",""))</f>
        <v/>
      </c>
    </row>
    <row r="419" spans="1:35" x14ac:dyDescent="0.25">
      <c r="A419" s="73" t="str">
        <f>IF(CCTSAS[[#This Row],[Carrière]]="","",IF(ISNA(VLOOKUP(CCTSAS[[#This Row],[Carrière]],DROPDOWN[Dropdown9],1,FALSE))=TRUE,"Carrière: Utiliser la liste déroulante",""))</f>
        <v/>
      </c>
      <c r="B419" s="8"/>
      <c r="C419" s="8"/>
      <c r="D419" s="8"/>
      <c r="E419" s="21"/>
      <c r="F419" s="64"/>
      <c r="G419" s="8"/>
      <c r="H419" s="8"/>
      <c r="I419" s="10"/>
      <c r="J419" s="10"/>
      <c r="K419" s="9"/>
      <c r="L419" s="9"/>
      <c r="M419" s="9"/>
      <c r="N419"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19" s="9"/>
      <c r="P419" s="9"/>
      <c r="Q419" s="8"/>
      <c r="R419" s="38"/>
      <c r="S419" s="38"/>
      <c r="T419" s="38"/>
      <c r="U419" s="38"/>
      <c r="V419" s="38"/>
      <c r="W419" s="38"/>
      <c r="X419" s="38"/>
      <c r="Y419"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19" s="38"/>
      <c r="AA419"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19" s="8"/>
      <c r="AC419" s="203"/>
      <c r="AD419"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19"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19" s="503"/>
      <c r="AG419" s="44"/>
      <c r="AH419" s="189" t="str">
        <f>IF(COUNTA(CCTSAS[[#This Row],[N°]:[heures annuelles
selon contrat(s)]])=0,"",REVEX!$E$9)</f>
        <v/>
      </c>
      <c r="AI419" s="73" t="str">
        <f>IF(CCTSAS[[#This Row],[Allocation fonctions]]="","",IF(ISNA(VLOOKUP(CCTSAS[[#This Row],[Allocation fonctions]],'Variable et Dropdowns'!H414:H430,1,FALSE))=TRUE,"Veuillez utiliser les allocations parmis la liste déroulante.",""))</f>
        <v/>
      </c>
    </row>
    <row r="420" spans="1:35" x14ac:dyDescent="0.25">
      <c r="A420" s="73" t="str">
        <f>IF(CCTSAS[[#This Row],[Carrière]]="","",IF(ISNA(VLOOKUP(CCTSAS[[#This Row],[Carrière]],DROPDOWN[Dropdown9],1,FALSE))=TRUE,"Carrière: Utiliser la liste déroulante",""))</f>
        <v/>
      </c>
      <c r="B420" s="8"/>
      <c r="C420" s="8"/>
      <c r="D420" s="8"/>
      <c r="E420" s="21"/>
      <c r="F420" s="64"/>
      <c r="G420" s="8"/>
      <c r="H420" s="8"/>
      <c r="I420" s="10"/>
      <c r="J420" s="10"/>
      <c r="K420" s="9"/>
      <c r="L420" s="9"/>
      <c r="M420" s="9"/>
      <c r="N420"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20" s="9"/>
      <c r="P420" s="9"/>
      <c r="Q420" s="8"/>
      <c r="R420" s="38"/>
      <c r="S420" s="38"/>
      <c r="T420" s="38"/>
      <c r="U420" s="38"/>
      <c r="V420" s="38"/>
      <c r="W420" s="38"/>
      <c r="X420" s="38"/>
      <c r="Y420"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20" s="38"/>
      <c r="AA420"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20" s="8"/>
      <c r="AC420" s="203"/>
      <c r="AD420"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20"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20" s="503"/>
      <c r="AG420" s="44"/>
      <c r="AH420" s="189" t="str">
        <f>IF(COUNTA(CCTSAS[[#This Row],[N°]:[heures annuelles
selon contrat(s)]])=0,"",REVEX!$E$9)</f>
        <v/>
      </c>
      <c r="AI420" s="73" t="str">
        <f>IF(CCTSAS[[#This Row],[Allocation fonctions]]="","",IF(ISNA(VLOOKUP(CCTSAS[[#This Row],[Allocation fonctions]],'Variable et Dropdowns'!H415:H431,1,FALSE))=TRUE,"Veuillez utiliser les allocations parmis la liste déroulante.",""))</f>
        <v/>
      </c>
    </row>
    <row r="421" spans="1:35" x14ac:dyDescent="0.25">
      <c r="A421" s="73" t="str">
        <f>IF(CCTSAS[[#This Row],[Carrière]]="","",IF(ISNA(VLOOKUP(CCTSAS[[#This Row],[Carrière]],DROPDOWN[Dropdown9],1,FALSE))=TRUE,"Carrière: Utiliser la liste déroulante",""))</f>
        <v/>
      </c>
      <c r="B421" s="8"/>
      <c r="C421" s="8"/>
      <c r="D421" s="8"/>
      <c r="E421" s="21"/>
      <c r="F421" s="64"/>
      <c r="G421" s="8"/>
      <c r="H421" s="8"/>
      <c r="I421" s="10"/>
      <c r="J421" s="10"/>
      <c r="K421" s="9"/>
      <c r="L421" s="9"/>
      <c r="M421" s="9"/>
      <c r="N421"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21" s="9"/>
      <c r="P421" s="9"/>
      <c r="Q421" s="8"/>
      <c r="R421" s="38"/>
      <c r="S421" s="38"/>
      <c r="T421" s="38"/>
      <c r="U421" s="38"/>
      <c r="V421" s="38"/>
      <c r="W421" s="38"/>
      <c r="X421" s="38"/>
      <c r="Y421"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21" s="38"/>
      <c r="AA421"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21" s="8"/>
      <c r="AC421" s="203"/>
      <c r="AD421"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21"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21" s="503"/>
      <c r="AG421" s="44"/>
      <c r="AH421" s="189" t="str">
        <f>IF(COUNTA(CCTSAS[[#This Row],[N°]:[heures annuelles
selon contrat(s)]])=0,"",REVEX!$E$9)</f>
        <v/>
      </c>
      <c r="AI421" s="73" t="str">
        <f>IF(CCTSAS[[#This Row],[Allocation fonctions]]="","",IF(ISNA(VLOOKUP(CCTSAS[[#This Row],[Allocation fonctions]],'Variable et Dropdowns'!H416:H432,1,FALSE))=TRUE,"Veuillez utiliser les allocations parmis la liste déroulante.",""))</f>
        <v/>
      </c>
    </row>
    <row r="422" spans="1:35" x14ac:dyDescent="0.25">
      <c r="A422" s="73" t="str">
        <f>IF(CCTSAS[[#This Row],[Carrière]]="","",IF(ISNA(VLOOKUP(CCTSAS[[#This Row],[Carrière]],DROPDOWN[Dropdown9],1,FALSE))=TRUE,"Carrière: Utiliser la liste déroulante",""))</f>
        <v/>
      </c>
      <c r="B422" s="8"/>
      <c r="C422" s="8"/>
      <c r="D422" s="8"/>
      <c r="E422" s="21"/>
      <c r="F422" s="64"/>
      <c r="G422" s="8"/>
      <c r="H422" s="8"/>
      <c r="I422" s="10"/>
      <c r="J422" s="10"/>
      <c r="K422" s="9"/>
      <c r="L422" s="9"/>
      <c r="M422" s="9"/>
      <c r="N422"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22" s="9"/>
      <c r="P422" s="9"/>
      <c r="Q422" s="8"/>
      <c r="R422" s="38"/>
      <c r="S422" s="38"/>
      <c r="T422" s="38"/>
      <c r="U422" s="38"/>
      <c r="V422" s="38"/>
      <c r="W422" s="38"/>
      <c r="X422" s="38"/>
      <c r="Y422"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22" s="38"/>
      <c r="AA422"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22" s="8"/>
      <c r="AC422" s="203"/>
      <c r="AD422"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22"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22" s="503"/>
      <c r="AG422" s="44"/>
      <c r="AH422" s="189" t="str">
        <f>IF(COUNTA(CCTSAS[[#This Row],[N°]:[heures annuelles
selon contrat(s)]])=0,"",REVEX!$E$9)</f>
        <v/>
      </c>
      <c r="AI422" s="73" t="str">
        <f>IF(CCTSAS[[#This Row],[Allocation fonctions]]="","",IF(ISNA(VLOOKUP(CCTSAS[[#This Row],[Allocation fonctions]],'Variable et Dropdowns'!H417:H433,1,FALSE))=TRUE,"Veuillez utiliser les allocations parmis la liste déroulante.",""))</f>
        <v/>
      </c>
    </row>
    <row r="423" spans="1:35" x14ac:dyDescent="0.25">
      <c r="A423" s="73" t="str">
        <f>IF(CCTSAS[[#This Row],[Carrière]]="","",IF(ISNA(VLOOKUP(CCTSAS[[#This Row],[Carrière]],DROPDOWN[Dropdown9],1,FALSE))=TRUE,"Carrière: Utiliser la liste déroulante",""))</f>
        <v/>
      </c>
      <c r="B423" s="8"/>
      <c r="C423" s="8"/>
      <c r="D423" s="8"/>
      <c r="E423" s="21"/>
      <c r="F423" s="64"/>
      <c r="G423" s="8"/>
      <c r="H423" s="8"/>
      <c r="I423" s="10"/>
      <c r="J423" s="10"/>
      <c r="K423" s="9"/>
      <c r="L423" s="9"/>
      <c r="M423" s="9"/>
      <c r="N423"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23" s="9"/>
      <c r="P423" s="9"/>
      <c r="Q423" s="8"/>
      <c r="R423" s="38"/>
      <c r="S423" s="38"/>
      <c r="T423" s="38"/>
      <c r="U423" s="38"/>
      <c r="V423" s="38"/>
      <c r="W423" s="38"/>
      <c r="X423" s="38"/>
      <c r="Y423"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23" s="38"/>
      <c r="AA423"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23" s="8"/>
      <c r="AC423" s="203"/>
      <c r="AD423"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23"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23" s="503"/>
      <c r="AG423" s="44"/>
      <c r="AH423" s="189" t="str">
        <f>IF(COUNTA(CCTSAS[[#This Row],[N°]:[heures annuelles
selon contrat(s)]])=0,"",REVEX!$E$9)</f>
        <v/>
      </c>
      <c r="AI423" s="73" t="str">
        <f>IF(CCTSAS[[#This Row],[Allocation fonctions]]="","",IF(ISNA(VLOOKUP(CCTSAS[[#This Row],[Allocation fonctions]],'Variable et Dropdowns'!H418:H434,1,FALSE))=TRUE,"Veuillez utiliser les allocations parmis la liste déroulante.",""))</f>
        <v/>
      </c>
    </row>
    <row r="424" spans="1:35" x14ac:dyDescent="0.25">
      <c r="A424" s="73" t="str">
        <f>IF(CCTSAS[[#This Row],[Carrière]]="","",IF(ISNA(VLOOKUP(CCTSAS[[#This Row],[Carrière]],DROPDOWN[Dropdown9],1,FALSE))=TRUE,"Carrière: Utiliser la liste déroulante",""))</f>
        <v/>
      </c>
      <c r="B424" s="8"/>
      <c r="C424" s="8"/>
      <c r="D424" s="8"/>
      <c r="E424" s="21"/>
      <c r="F424" s="64"/>
      <c r="G424" s="8"/>
      <c r="H424" s="8"/>
      <c r="I424" s="10"/>
      <c r="J424" s="10"/>
      <c r="K424" s="9"/>
      <c r="L424" s="9"/>
      <c r="M424" s="9"/>
      <c r="N424"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24" s="9"/>
      <c r="P424" s="9"/>
      <c r="Q424" s="8"/>
      <c r="R424" s="38"/>
      <c r="S424" s="38"/>
      <c r="T424" s="38"/>
      <c r="U424" s="38"/>
      <c r="V424" s="38"/>
      <c r="W424" s="38"/>
      <c r="X424" s="38"/>
      <c r="Y424"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24" s="38"/>
      <c r="AA424"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24" s="8"/>
      <c r="AC424" s="203"/>
      <c r="AD424"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24"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24" s="503"/>
      <c r="AG424" s="44"/>
      <c r="AH424" s="189" t="str">
        <f>IF(COUNTA(CCTSAS[[#This Row],[N°]:[heures annuelles
selon contrat(s)]])=0,"",REVEX!$E$9)</f>
        <v/>
      </c>
      <c r="AI424" s="73" t="str">
        <f>IF(CCTSAS[[#This Row],[Allocation fonctions]]="","",IF(ISNA(VLOOKUP(CCTSAS[[#This Row],[Allocation fonctions]],'Variable et Dropdowns'!H419:H435,1,FALSE))=TRUE,"Veuillez utiliser les allocations parmis la liste déroulante.",""))</f>
        <v/>
      </c>
    </row>
    <row r="425" spans="1:35" x14ac:dyDescent="0.25">
      <c r="A425" s="73" t="str">
        <f>IF(CCTSAS[[#This Row],[Carrière]]="","",IF(ISNA(VLOOKUP(CCTSAS[[#This Row],[Carrière]],DROPDOWN[Dropdown9],1,FALSE))=TRUE,"Carrière: Utiliser la liste déroulante",""))</f>
        <v/>
      </c>
      <c r="B425" s="8"/>
      <c r="C425" s="8"/>
      <c r="D425" s="8"/>
      <c r="E425" s="21"/>
      <c r="F425" s="64"/>
      <c r="G425" s="8"/>
      <c r="H425" s="8"/>
      <c r="I425" s="10"/>
      <c r="J425" s="10"/>
      <c r="K425" s="9"/>
      <c r="L425" s="9"/>
      <c r="M425" s="9"/>
      <c r="N425"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25" s="9"/>
      <c r="P425" s="9"/>
      <c r="Q425" s="8"/>
      <c r="R425" s="38"/>
      <c r="S425" s="38"/>
      <c r="T425" s="38"/>
      <c r="U425" s="38"/>
      <c r="V425" s="38"/>
      <c r="W425" s="38"/>
      <c r="X425" s="38"/>
      <c r="Y425"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25" s="38"/>
      <c r="AA425"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25" s="8"/>
      <c r="AC425" s="203"/>
      <c r="AD425"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25"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25" s="503"/>
      <c r="AG425" s="44"/>
      <c r="AH425" s="189" t="str">
        <f>IF(COUNTA(CCTSAS[[#This Row],[N°]:[heures annuelles
selon contrat(s)]])=0,"",REVEX!$E$9)</f>
        <v/>
      </c>
      <c r="AI425" s="73" t="str">
        <f>IF(CCTSAS[[#This Row],[Allocation fonctions]]="","",IF(ISNA(VLOOKUP(CCTSAS[[#This Row],[Allocation fonctions]],'Variable et Dropdowns'!H420:H436,1,FALSE))=TRUE,"Veuillez utiliser les allocations parmis la liste déroulante.",""))</f>
        <v/>
      </c>
    </row>
    <row r="426" spans="1:35" x14ac:dyDescent="0.25">
      <c r="A426" s="73" t="str">
        <f>IF(CCTSAS[[#This Row],[Carrière]]="","",IF(ISNA(VLOOKUP(CCTSAS[[#This Row],[Carrière]],DROPDOWN[Dropdown9],1,FALSE))=TRUE,"Carrière: Utiliser la liste déroulante",""))</f>
        <v/>
      </c>
      <c r="B426" s="8"/>
      <c r="C426" s="8"/>
      <c r="D426" s="8"/>
      <c r="E426" s="21"/>
      <c r="F426" s="64"/>
      <c r="G426" s="8"/>
      <c r="H426" s="8"/>
      <c r="I426" s="10"/>
      <c r="J426" s="10"/>
      <c r="K426" s="9"/>
      <c r="L426" s="9"/>
      <c r="M426" s="9"/>
      <c r="N426"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26" s="9"/>
      <c r="P426" s="9"/>
      <c r="Q426" s="8"/>
      <c r="R426" s="38"/>
      <c r="S426" s="38"/>
      <c r="T426" s="38"/>
      <c r="U426" s="38"/>
      <c r="V426" s="38"/>
      <c r="W426" s="38"/>
      <c r="X426" s="38"/>
      <c r="Y426"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26" s="38"/>
      <c r="AA426"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26" s="8"/>
      <c r="AC426" s="203"/>
      <c r="AD426"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26"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26" s="503"/>
      <c r="AG426" s="44"/>
      <c r="AH426" s="189" t="str">
        <f>IF(COUNTA(CCTSAS[[#This Row],[N°]:[heures annuelles
selon contrat(s)]])=0,"",REVEX!$E$9)</f>
        <v/>
      </c>
      <c r="AI426" s="73" t="str">
        <f>IF(CCTSAS[[#This Row],[Allocation fonctions]]="","",IF(ISNA(VLOOKUP(CCTSAS[[#This Row],[Allocation fonctions]],'Variable et Dropdowns'!H421:H437,1,FALSE))=TRUE,"Veuillez utiliser les allocations parmis la liste déroulante.",""))</f>
        <v/>
      </c>
    </row>
    <row r="427" spans="1:35" x14ac:dyDescent="0.25">
      <c r="A427" s="73" t="str">
        <f>IF(CCTSAS[[#This Row],[Carrière]]="","",IF(ISNA(VLOOKUP(CCTSAS[[#This Row],[Carrière]],DROPDOWN[Dropdown9],1,FALSE))=TRUE,"Carrière: Utiliser la liste déroulante",""))</f>
        <v/>
      </c>
      <c r="B427" s="8"/>
      <c r="C427" s="8"/>
      <c r="D427" s="8"/>
      <c r="E427" s="21"/>
      <c r="F427" s="64"/>
      <c r="G427" s="8"/>
      <c r="H427" s="8"/>
      <c r="I427" s="10"/>
      <c r="J427" s="10"/>
      <c r="K427" s="9"/>
      <c r="L427" s="9"/>
      <c r="M427" s="9"/>
      <c r="N427"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27" s="9"/>
      <c r="P427" s="9"/>
      <c r="Q427" s="8"/>
      <c r="R427" s="38"/>
      <c r="S427" s="38"/>
      <c r="T427" s="38"/>
      <c r="U427" s="38"/>
      <c r="V427" s="38"/>
      <c r="W427" s="38"/>
      <c r="X427" s="38"/>
      <c r="Y427"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27" s="38"/>
      <c r="AA427"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27" s="8"/>
      <c r="AC427" s="203"/>
      <c r="AD427"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27"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27" s="503"/>
      <c r="AG427" s="44"/>
      <c r="AH427" s="189" t="str">
        <f>IF(COUNTA(CCTSAS[[#This Row],[N°]:[heures annuelles
selon contrat(s)]])=0,"",REVEX!$E$9)</f>
        <v/>
      </c>
      <c r="AI427" s="73" t="str">
        <f>IF(CCTSAS[[#This Row],[Allocation fonctions]]="","",IF(ISNA(VLOOKUP(CCTSAS[[#This Row],[Allocation fonctions]],'Variable et Dropdowns'!H422:H438,1,FALSE))=TRUE,"Veuillez utiliser les allocations parmis la liste déroulante.",""))</f>
        <v/>
      </c>
    </row>
    <row r="428" spans="1:35" x14ac:dyDescent="0.25">
      <c r="A428" s="73" t="str">
        <f>IF(CCTSAS[[#This Row],[Carrière]]="","",IF(ISNA(VLOOKUP(CCTSAS[[#This Row],[Carrière]],DROPDOWN[Dropdown9],1,FALSE))=TRUE,"Carrière: Utiliser la liste déroulante",""))</f>
        <v/>
      </c>
      <c r="B428" s="8"/>
      <c r="C428" s="8"/>
      <c r="D428" s="8"/>
      <c r="E428" s="21"/>
      <c r="F428" s="64"/>
      <c r="G428" s="8"/>
      <c r="H428" s="8"/>
      <c r="I428" s="10"/>
      <c r="J428" s="10"/>
      <c r="K428" s="9"/>
      <c r="L428" s="9"/>
      <c r="M428" s="9"/>
      <c r="N428"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28" s="9"/>
      <c r="P428" s="9"/>
      <c r="Q428" s="8"/>
      <c r="R428" s="38"/>
      <c r="S428" s="38"/>
      <c r="T428" s="38"/>
      <c r="U428" s="38"/>
      <c r="V428" s="38"/>
      <c r="W428" s="38"/>
      <c r="X428" s="38"/>
      <c r="Y428"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28" s="38"/>
      <c r="AA428"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28" s="8"/>
      <c r="AC428" s="203"/>
      <c r="AD428"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28"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28" s="503"/>
      <c r="AG428" s="44"/>
      <c r="AH428" s="189" t="str">
        <f>IF(COUNTA(CCTSAS[[#This Row],[N°]:[heures annuelles
selon contrat(s)]])=0,"",REVEX!$E$9)</f>
        <v/>
      </c>
      <c r="AI428" s="73" t="str">
        <f>IF(CCTSAS[[#This Row],[Allocation fonctions]]="","",IF(ISNA(VLOOKUP(CCTSAS[[#This Row],[Allocation fonctions]],'Variable et Dropdowns'!H423:H439,1,FALSE))=TRUE,"Veuillez utiliser les allocations parmis la liste déroulante.",""))</f>
        <v/>
      </c>
    </row>
    <row r="429" spans="1:35" x14ac:dyDescent="0.25">
      <c r="A429" s="73" t="str">
        <f>IF(CCTSAS[[#This Row],[Carrière]]="","",IF(ISNA(VLOOKUP(CCTSAS[[#This Row],[Carrière]],DROPDOWN[Dropdown9],1,FALSE))=TRUE,"Carrière: Utiliser la liste déroulante",""))</f>
        <v/>
      </c>
      <c r="B429" s="8"/>
      <c r="C429" s="8"/>
      <c r="D429" s="8"/>
      <c r="E429" s="21"/>
      <c r="F429" s="64"/>
      <c r="G429" s="8"/>
      <c r="H429" s="8"/>
      <c r="I429" s="10"/>
      <c r="J429" s="10"/>
      <c r="K429" s="9"/>
      <c r="L429" s="9"/>
      <c r="M429" s="9"/>
      <c r="N429"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29" s="9"/>
      <c r="P429" s="9"/>
      <c r="Q429" s="8"/>
      <c r="R429" s="38"/>
      <c r="S429" s="38"/>
      <c r="T429" s="38"/>
      <c r="U429" s="38"/>
      <c r="V429" s="38"/>
      <c r="W429" s="38"/>
      <c r="X429" s="38"/>
      <c r="Y429"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29" s="38"/>
      <c r="AA429"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29" s="8"/>
      <c r="AC429" s="203"/>
      <c r="AD429"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29"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29" s="503"/>
      <c r="AG429" s="44"/>
      <c r="AH429" s="189" t="str">
        <f>IF(COUNTA(CCTSAS[[#This Row],[N°]:[heures annuelles
selon contrat(s)]])=0,"",REVEX!$E$9)</f>
        <v/>
      </c>
      <c r="AI429" s="73" t="str">
        <f>IF(CCTSAS[[#This Row],[Allocation fonctions]]="","",IF(ISNA(VLOOKUP(CCTSAS[[#This Row],[Allocation fonctions]],'Variable et Dropdowns'!H424:H440,1,FALSE))=TRUE,"Veuillez utiliser les allocations parmis la liste déroulante.",""))</f>
        <v/>
      </c>
    </row>
    <row r="430" spans="1:35" x14ac:dyDescent="0.25">
      <c r="A430" s="73" t="str">
        <f>IF(CCTSAS[[#This Row],[Carrière]]="","",IF(ISNA(VLOOKUP(CCTSAS[[#This Row],[Carrière]],DROPDOWN[Dropdown9],1,FALSE))=TRUE,"Carrière: Utiliser la liste déroulante",""))</f>
        <v/>
      </c>
      <c r="B430" s="8"/>
      <c r="C430" s="8"/>
      <c r="D430" s="8"/>
      <c r="E430" s="21"/>
      <c r="F430" s="64"/>
      <c r="G430" s="8"/>
      <c r="H430" s="8"/>
      <c r="I430" s="10"/>
      <c r="J430" s="10"/>
      <c r="K430" s="9"/>
      <c r="L430" s="9"/>
      <c r="M430" s="9"/>
      <c r="N430"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30" s="9"/>
      <c r="P430" s="9"/>
      <c r="Q430" s="8"/>
      <c r="R430" s="38"/>
      <c r="S430" s="38"/>
      <c r="T430" s="38"/>
      <c r="U430" s="38"/>
      <c r="V430" s="38"/>
      <c r="W430" s="38"/>
      <c r="X430" s="38"/>
      <c r="Y430"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30" s="38"/>
      <c r="AA430"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30" s="8"/>
      <c r="AC430" s="203"/>
      <c r="AD430"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30"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30" s="503"/>
      <c r="AG430" s="44"/>
      <c r="AH430" s="189" t="str">
        <f>IF(COUNTA(CCTSAS[[#This Row],[N°]:[heures annuelles
selon contrat(s)]])=0,"",REVEX!$E$9)</f>
        <v/>
      </c>
      <c r="AI430" s="73" t="str">
        <f>IF(CCTSAS[[#This Row],[Allocation fonctions]]="","",IF(ISNA(VLOOKUP(CCTSAS[[#This Row],[Allocation fonctions]],'Variable et Dropdowns'!H425:H441,1,FALSE))=TRUE,"Veuillez utiliser les allocations parmis la liste déroulante.",""))</f>
        <v/>
      </c>
    </row>
    <row r="431" spans="1:35" x14ac:dyDescent="0.25">
      <c r="A431" s="73" t="str">
        <f>IF(CCTSAS[[#This Row],[Carrière]]="","",IF(ISNA(VLOOKUP(CCTSAS[[#This Row],[Carrière]],DROPDOWN[Dropdown9],1,FALSE))=TRUE,"Carrière: Utiliser la liste déroulante",""))</f>
        <v/>
      </c>
      <c r="B431" s="8"/>
      <c r="C431" s="8"/>
      <c r="D431" s="8"/>
      <c r="E431" s="21"/>
      <c r="F431" s="64"/>
      <c r="G431" s="8"/>
      <c r="H431" s="8"/>
      <c r="I431" s="10"/>
      <c r="J431" s="10"/>
      <c r="K431" s="9"/>
      <c r="L431" s="9"/>
      <c r="M431" s="9"/>
      <c r="N431"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31" s="9"/>
      <c r="P431" s="9"/>
      <c r="Q431" s="8"/>
      <c r="R431" s="38"/>
      <c r="S431" s="38"/>
      <c r="T431" s="38"/>
      <c r="U431" s="38"/>
      <c r="V431" s="38"/>
      <c r="W431" s="38"/>
      <c r="X431" s="38"/>
      <c r="Y431"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31" s="38"/>
      <c r="AA431"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31" s="8"/>
      <c r="AC431" s="203"/>
      <c r="AD431"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31"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31" s="503"/>
      <c r="AG431" s="44"/>
      <c r="AH431" s="189" t="str">
        <f>IF(COUNTA(CCTSAS[[#This Row],[N°]:[heures annuelles
selon contrat(s)]])=0,"",REVEX!$E$9)</f>
        <v/>
      </c>
      <c r="AI431" s="73" t="str">
        <f>IF(CCTSAS[[#This Row],[Allocation fonctions]]="","",IF(ISNA(VLOOKUP(CCTSAS[[#This Row],[Allocation fonctions]],'Variable et Dropdowns'!H426:H442,1,FALSE))=TRUE,"Veuillez utiliser les allocations parmis la liste déroulante.",""))</f>
        <v/>
      </c>
    </row>
    <row r="432" spans="1:35" x14ac:dyDescent="0.25">
      <c r="A432" s="73" t="str">
        <f>IF(CCTSAS[[#This Row],[Carrière]]="","",IF(ISNA(VLOOKUP(CCTSAS[[#This Row],[Carrière]],DROPDOWN[Dropdown9],1,FALSE))=TRUE,"Carrière: Utiliser la liste déroulante",""))</f>
        <v/>
      </c>
      <c r="B432" s="8"/>
      <c r="C432" s="8"/>
      <c r="D432" s="8"/>
      <c r="E432" s="21"/>
      <c r="F432" s="64"/>
      <c r="G432" s="8"/>
      <c r="H432" s="8"/>
      <c r="I432" s="10"/>
      <c r="J432" s="10"/>
      <c r="K432" s="9"/>
      <c r="L432" s="9"/>
      <c r="M432" s="9"/>
      <c r="N432"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32" s="9"/>
      <c r="P432" s="9"/>
      <c r="Q432" s="8"/>
      <c r="R432" s="38"/>
      <c r="S432" s="38"/>
      <c r="T432" s="38"/>
      <c r="U432" s="38"/>
      <c r="V432" s="38"/>
      <c r="W432" s="38"/>
      <c r="X432" s="38"/>
      <c r="Y432"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32" s="38"/>
      <c r="AA432"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32" s="8"/>
      <c r="AC432" s="203"/>
      <c r="AD432"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32"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32" s="503"/>
      <c r="AG432" s="44"/>
      <c r="AH432" s="189" t="str">
        <f>IF(COUNTA(CCTSAS[[#This Row],[N°]:[heures annuelles
selon contrat(s)]])=0,"",REVEX!$E$9)</f>
        <v/>
      </c>
      <c r="AI432" s="73" t="str">
        <f>IF(CCTSAS[[#This Row],[Allocation fonctions]]="","",IF(ISNA(VLOOKUP(CCTSAS[[#This Row],[Allocation fonctions]],'Variable et Dropdowns'!H427:H443,1,FALSE))=TRUE,"Veuillez utiliser les allocations parmis la liste déroulante.",""))</f>
        <v/>
      </c>
    </row>
    <row r="433" spans="1:35" x14ac:dyDescent="0.25">
      <c r="A433" s="73" t="str">
        <f>IF(CCTSAS[[#This Row],[Carrière]]="","",IF(ISNA(VLOOKUP(CCTSAS[[#This Row],[Carrière]],DROPDOWN[Dropdown9],1,FALSE))=TRUE,"Carrière: Utiliser la liste déroulante",""))</f>
        <v/>
      </c>
      <c r="B433" s="8"/>
      <c r="C433" s="8"/>
      <c r="D433" s="8"/>
      <c r="E433" s="21"/>
      <c r="F433" s="64"/>
      <c r="G433" s="8"/>
      <c r="H433" s="8"/>
      <c r="I433" s="10"/>
      <c r="J433" s="10"/>
      <c r="K433" s="9"/>
      <c r="L433" s="9"/>
      <c r="M433" s="9"/>
      <c r="N433"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33" s="9"/>
      <c r="P433" s="9"/>
      <c r="Q433" s="8"/>
      <c r="R433" s="38"/>
      <c r="S433" s="38"/>
      <c r="T433" s="38"/>
      <c r="U433" s="38"/>
      <c r="V433" s="38"/>
      <c r="W433" s="38"/>
      <c r="X433" s="38"/>
      <c r="Y433"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33" s="38"/>
      <c r="AA433"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33" s="8"/>
      <c r="AC433" s="203"/>
      <c r="AD433"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33"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33" s="503"/>
      <c r="AG433" s="44"/>
      <c r="AH433" s="189" t="str">
        <f>IF(COUNTA(CCTSAS[[#This Row],[N°]:[heures annuelles
selon contrat(s)]])=0,"",REVEX!$E$9)</f>
        <v/>
      </c>
      <c r="AI433" s="73" t="str">
        <f>IF(CCTSAS[[#This Row],[Allocation fonctions]]="","",IF(ISNA(VLOOKUP(CCTSAS[[#This Row],[Allocation fonctions]],'Variable et Dropdowns'!H428:H444,1,FALSE))=TRUE,"Veuillez utiliser les allocations parmis la liste déroulante.",""))</f>
        <v/>
      </c>
    </row>
    <row r="434" spans="1:35" x14ac:dyDescent="0.25">
      <c r="A434" s="73" t="str">
        <f>IF(CCTSAS[[#This Row],[Carrière]]="","",IF(ISNA(VLOOKUP(CCTSAS[[#This Row],[Carrière]],DROPDOWN[Dropdown9],1,FALSE))=TRUE,"Carrière: Utiliser la liste déroulante",""))</f>
        <v/>
      </c>
      <c r="B434" s="8"/>
      <c r="C434" s="8"/>
      <c r="D434" s="8"/>
      <c r="E434" s="21"/>
      <c r="F434" s="64"/>
      <c r="G434" s="8"/>
      <c r="H434" s="8"/>
      <c r="I434" s="10"/>
      <c r="J434" s="10"/>
      <c r="K434" s="9"/>
      <c r="L434" s="9"/>
      <c r="M434" s="9"/>
      <c r="N434"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34" s="9"/>
      <c r="P434" s="9"/>
      <c r="Q434" s="8"/>
      <c r="R434" s="38"/>
      <c r="S434" s="38"/>
      <c r="T434" s="38"/>
      <c r="U434" s="38"/>
      <c r="V434" s="38"/>
      <c r="W434" s="38"/>
      <c r="X434" s="38"/>
      <c r="Y434"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34" s="38"/>
      <c r="AA434"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34" s="8"/>
      <c r="AC434" s="203"/>
      <c r="AD434"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34"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34" s="503"/>
      <c r="AG434" s="44"/>
      <c r="AH434" s="189" t="str">
        <f>IF(COUNTA(CCTSAS[[#This Row],[N°]:[heures annuelles
selon contrat(s)]])=0,"",REVEX!$E$9)</f>
        <v/>
      </c>
      <c r="AI434" s="73" t="str">
        <f>IF(CCTSAS[[#This Row],[Allocation fonctions]]="","",IF(ISNA(VLOOKUP(CCTSAS[[#This Row],[Allocation fonctions]],'Variable et Dropdowns'!H429:H445,1,FALSE))=TRUE,"Veuillez utiliser les allocations parmis la liste déroulante.",""))</f>
        <v/>
      </c>
    </row>
    <row r="435" spans="1:35" x14ac:dyDescent="0.25">
      <c r="A435" s="73" t="str">
        <f>IF(CCTSAS[[#This Row],[Carrière]]="","",IF(ISNA(VLOOKUP(CCTSAS[[#This Row],[Carrière]],DROPDOWN[Dropdown9],1,FALSE))=TRUE,"Carrière: Utiliser la liste déroulante",""))</f>
        <v/>
      </c>
      <c r="B435" s="8"/>
      <c r="C435" s="8"/>
      <c r="D435" s="8"/>
      <c r="E435" s="21"/>
      <c r="F435" s="64"/>
      <c r="G435" s="8"/>
      <c r="H435" s="8"/>
      <c r="I435" s="10"/>
      <c r="J435" s="10"/>
      <c r="K435" s="9"/>
      <c r="L435" s="9"/>
      <c r="M435" s="9"/>
      <c r="N435"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35" s="9"/>
      <c r="P435" s="9"/>
      <c r="Q435" s="8"/>
      <c r="R435" s="38"/>
      <c r="S435" s="38"/>
      <c r="T435" s="38"/>
      <c r="U435" s="38"/>
      <c r="V435" s="38"/>
      <c r="W435" s="38"/>
      <c r="X435" s="38"/>
      <c r="Y435"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35" s="38"/>
      <c r="AA435"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35" s="8"/>
      <c r="AC435" s="203"/>
      <c r="AD435"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35"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35" s="503"/>
      <c r="AG435" s="44"/>
      <c r="AH435" s="189" t="str">
        <f>IF(COUNTA(CCTSAS[[#This Row],[N°]:[heures annuelles
selon contrat(s)]])=0,"",REVEX!$E$9)</f>
        <v/>
      </c>
      <c r="AI435" s="73" t="str">
        <f>IF(CCTSAS[[#This Row],[Allocation fonctions]]="","",IF(ISNA(VLOOKUP(CCTSAS[[#This Row],[Allocation fonctions]],'Variable et Dropdowns'!H430:H446,1,FALSE))=TRUE,"Veuillez utiliser les allocations parmis la liste déroulante.",""))</f>
        <v/>
      </c>
    </row>
    <row r="436" spans="1:35" x14ac:dyDescent="0.25">
      <c r="A436" s="73" t="str">
        <f>IF(CCTSAS[[#This Row],[Carrière]]="","",IF(ISNA(VLOOKUP(CCTSAS[[#This Row],[Carrière]],DROPDOWN[Dropdown9],1,FALSE))=TRUE,"Carrière: Utiliser la liste déroulante",""))</f>
        <v/>
      </c>
      <c r="B436" s="8"/>
      <c r="C436" s="8"/>
      <c r="D436" s="8"/>
      <c r="E436" s="21"/>
      <c r="F436" s="64"/>
      <c r="G436" s="8"/>
      <c r="H436" s="8"/>
      <c r="I436" s="10"/>
      <c r="J436" s="10"/>
      <c r="K436" s="9"/>
      <c r="L436" s="9"/>
      <c r="M436" s="9"/>
      <c r="N436"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36" s="9"/>
      <c r="P436" s="9"/>
      <c r="Q436" s="8"/>
      <c r="R436" s="38"/>
      <c r="S436" s="38"/>
      <c r="T436" s="38"/>
      <c r="U436" s="38"/>
      <c r="V436" s="38"/>
      <c r="W436" s="38"/>
      <c r="X436" s="38"/>
      <c r="Y436"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36" s="38"/>
      <c r="AA436"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36" s="8"/>
      <c r="AC436" s="203"/>
      <c r="AD436"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36"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36" s="503"/>
      <c r="AG436" s="44"/>
      <c r="AH436" s="189" t="str">
        <f>IF(COUNTA(CCTSAS[[#This Row],[N°]:[heures annuelles
selon contrat(s)]])=0,"",REVEX!$E$9)</f>
        <v/>
      </c>
      <c r="AI436" s="73" t="str">
        <f>IF(CCTSAS[[#This Row],[Allocation fonctions]]="","",IF(ISNA(VLOOKUP(CCTSAS[[#This Row],[Allocation fonctions]],'Variable et Dropdowns'!H431:H447,1,FALSE))=TRUE,"Veuillez utiliser les allocations parmis la liste déroulante.",""))</f>
        <v/>
      </c>
    </row>
    <row r="437" spans="1:35" x14ac:dyDescent="0.25">
      <c r="A437" s="73" t="str">
        <f>IF(CCTSAS[[#This Row],[Carrière]]="","",IF(ISNA(VLOOKUP(CCTSAS[[#This Row],[Carrière]],DROPDOWN[Dropdown9],1,FALSE))=TRUE,"Carrière: Utiliser la liste déroulante",""))</f>
        <v/>
      </c>
      <c r="B437" s="8"/>
      <c r="C437" s="8"/>
      <c r="D437" s="8"/>
      <c r="E437" s="21"/>
      <c r="F437" s="64"/>
      <c r="G437" s="8"/>
      <c r="H437" s="8"/>
      <c r="I437" s="10"/>
      <c r="J437" s="10"/>
      <c r="K437" s="9"/>
      <c r="L437" s="9"/>
      <c r="M437" s="9"/>
      <c r="N437"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37" s="9"/>
      <c r="P437" s="9"/>
      <c r="Q437" s="8"/>
      <c r="R437" s="38"/>
      <c r="S437" s="38"/>
      <c r="T437" s="38"/>
      <c r="U437" s="38"/>
      <c r="V437" s="38"/>
      <c r="W437" s="38"/>
      <c r="X437" s="38"/>
      <c r="Y437"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37" s="38"/>
      <c r="AA437"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37" s="8"/>
      <c r="AC437" s="203"/>
      <c r="AD437"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37"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37" s="503"/>
      <c r="AG437" s="44"/>
      <c r="AH437" s="189" t="str">
        <f>IF(COUNTA(CCTSAS[[#This Row],[N°]:[heures annuelles
selon contrat(s)]])=0,"",REVEX!$E$9)</f>
        <v/>
      </c>
      <c r="AI437" s="73" t="str">
        <f>IF(CCTSAS[[#This Row],[Allocation fonctions]]="","",IF(ISNA(VLOOKUP(CCTSAS[[#This Row],[Allocation fonctions]],'Variable et Dropdowns'!H432:H448,1,FALSE))=TRUE,"Veuillez utiliser les allocations parmis la liste déroulante.",""))</f>
        <v/>
      </c>
    </row>
    <row r="438" spans="1:35" x14ac:dyDescent="0.25">
      <c r="A438" s="73" t="str">
        <f>IF(CCTSAS[[#This Row],[Carrière]]="","",IF(ISNA(VLOOKUP(CCTSAS[[#This Row],[Carrière]],DROPDOWN[Dropdown9],1,FALSE))=TRUE,"Carrière: Utiliser la liste déroulante",""))</f>
        <v/>
      </c>
      <c r="B438" s="8"/>
      <c r="C438" s="8"/>
      <c r="D438" s="8"/>
      <c r="E438" s="21"/>
      <c r="F438" s="64"/>
      <c r="G438" s="8"/>
      <c r="H438" s="8"/>
      <c r="I438" s="10"/>
      <c r="J438" s="10"/>
      <c r="K438" s="9"/>
      <c r="L438" s="9"/>
      <c r="M438" s="9"/>
      <c r="N438"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38" s="9"/>
      <c r="P438" s="9"/>
      <c r="Q438" s="8"/>
      <c r="R438" s="38"/>
      <c r="S438" s="38"/>
      <c r="T438" s="38"/>
      <c r="U438" s="38"/>
      <c r="V438" s="38"/>
      <c r="W438" s="38"/>
      <c r="X438" s="38"/>
      <c r="Y438"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38" s="38"/>
      <c r="AA438"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38" s="8"/>
      <c r="AC438" s="203"/>
      <c r="AD438"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38"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38" s="503"/>
      <c r="AG438" s="44"/>
      <c r="AH438" s="189" t="str">
        <f>IF(COUNTA(CCTSAS[[#This Row],[N°]:[heures annuelles
selon contrat(s)]])=0,"",REVEX!$E$9)</f>
        <v/>
      </c>
      <c r="AI438" s="73" t="str">
        <f>IF(CCTSAS[[#This Row],[Allocation fonctions]]="","",IF(ISNA(VLOOKUP(CCTSAS[[#This Row],[Allocation fonctions]],'Variable et Dropdowns'!H433:H449,1,FALSE))=TRUE,"Veuillez utiliser les allocations parmis la liste déroulante.",""))</f>
        <v/>
      </c>
    </row>
    <row r="439" spans="1:35" x14ac:dyDescent="0.25">
      <c r="A439" s="73" t="str">
        <f>IF(CCTSAS[[#This Row],[Carrière]]="","",IF(ISNA(VLOOKUP(CCTSAS[[#This Row],[Carrière]],DROPDOWN[Dropdown9],1,FALSE))=TRUE,"Carrière: Utiliser la liste déroulante",""))</f>
        <v/>
      </c>
      <c r="B439" s="8"/>
      <c r="C439" s="8"/>
      <c r="D439" s="8"/>
      <c r="E439" s="21"/>
      <c r="F439" s="64"/>
      <c r="G439" s="8"/>
      <c r="H439" s="8"/>
      <c r="I439" s="10"/>
      <c r="J439" s="10"/>
      <c r="K439" s="9"/>
      <c r="L439" s="9"/>
      <c r="M439" s="9"/>
      <c r="N439"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39" s="9"/>
      <c r="P439" s="9"/>
      <c r="Q439" s="8"/>
      <c r="R439" s="38"/>
      <c r="S439" s="38"/>
      <c r="T439" s="38"/>
      <c r="U439" s="38"/>
      <c r="V439" s="38"/>
      <c r="W439" s="38"/>
      <c r="X439" s="38"/>
      <c r="Y439"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39" s="38"/>
      <c r="AA439"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39" s="8"/>
      <c r="AC439" s="203"/>
      <c r="AD439"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39"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39" s="503"/>
      <c r="AG439" s="44"/>
      <c r="AH439" s="189" t="str">
        <f>IF(COUNTA(CCTSAS[[#This Row],[N°]:[heures annuelles
selon contrat(s)]])=0,"",REVEX!$E$9)</f>
        <v/>
      </c>
      <c r="AI439" s="73" t="str">
        <f>IF(CCTSAS[[#This Row],[Allocation fonctions]]="","",IF(ISNA(VLOOKUP(CCTSAS[[#This Row],[Allocation fonctions]],'Variable et Dropdowns'!H434:H450,1,FALSE))=TRUE,"Veuillez utiliser les allocations parmis la liste déroulante.",""))</f>
        <v/>
      </c>
    </row>
    <row r="440" spans="1:35" x14ac:dyDescent="0.25">
      <c r="A440" s="73" t="str">
        <f>IF(CCTSAS[[#This Row],[Carrière]]="","",IF(ISNA(VLOOKUP(CCTSAS[[#This Row],[Carrière]],DROPDOWN[Dropdown9],1,FALSE))=TRUE,"Carrière: Utiliser la liste déroulante",""))</f>
        <v/>
      </c>
      <c r="B440" s="8"/>
      <c r="C440" s="8"/>
      <c r="D440" s="8"/>
      <c r="E440" s="21"/>
      <c r="F440" s="64"/>
      <c r="G440" s="8"/>
      <c r="H440" s="8"/>
      <c r="I440" s="10"/>
      <c r="J440" s="10"/>
      <c r="K440" s="9"/>
      <c r="L440" s="9"/>
      <c r="M440" s="9"/>
      <c r="N440"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40" s="9"/>
      <c r="P440" s="9"/>
      <c r="Q440" s="8"/>
      <c r="R440" s="38"/>
      <c r="S440" s="38"/>
      <c r="T440" s="38"/>
      <c r="U440" s="38"/>
      <c r="V440" s="38"/>
      <c r="W440" s="38"/>
      <c r="X440" s="38"/>
      <c r="Y440"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40" s="38"/>
      <c r="AA440"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40" s="8"/>
      <c r="AC440" s="203"/>
      <c r="AD440"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40"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40" s="503"/>
      <c r="AG440" s="44"/>
      <c r="AH440" s="189" t="str">
        <f>IF(COUNTA(CCTSAS[[#This Row],[N°]:[heures annuelles
selon contrat(s)]])=0,"",REVEX!$E$9)</f>
        <v/>
      </c>
      <c r="AI440" s="73" t="str">
        <f>IF(CCTSAS[[#This Row],[Allocation fonctions]]="","",IF(ISNA(VLOOKUP(CCTSAS[[#This Row],[Allocation fonctions]],'Variable et Dropdowns'!H435:H451,1,FALSE))=TRUE,"Veuillez utiliser les allocations parmis la liste déroulante.",""))</f>
        <v/>
      </c>
    </row>
    <row r="441" spans="1:35" x14ac:dyDescent="0.25">
      <c r="A441" s="73" t="str">
        <f>IF(CCTSAS[[#This Row],[Carrière]]="","",IF(ISNA(VLOOKUP(CCTSAS[[#This Row],[Carrière]],DROPDOWN[Dropdown9],1,FALSE))=TRUE,"Carrière: Utiliser la liste déroulante",""))</f>
        <v/>
      </c>
      <c r="B441" s="8"/>
      <c r="C441" s="8"/>
      <c r="D441" s="8"/>
      <c r="E441" s="21"/>
      <c r="F441" s="64"/>
      <c r="G441" s="8"/>
      <c r="H441" s="8"/>
      <c r="I441" s="10"/>
      <c r="J441" s="10"/>
      <c r="K441" s="9"/>
      <c r="L441" s="9"/>
      <c r="M441" s="9"/>
      <c r="N441"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41" s="9"/>
      <c r="P441" s="9"/>
      <c r="Q441" s="8"/>
      <c r="R441" s="38"/>
      <c r="S441" s="38"/>
      <c r="T441" s="38"/>
      <c r="U441" s="38"/>
      <c r="V441" s="38"/>
      <c r="W441" s="38"/>
      <c r="X441" s="38"/>
      <c r="Y441"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41" s="38"/>
      <c r="AA441"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41" s="8"/>
      <c r="AC441" s="203"/>
      <c r="AD441"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41"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41" s="503"/>
      <c r="AG441" s="44"/>
      <c r="AH441" s="189" t="str">
        <f>IF(COUNTA(CCTSAS[[#This Row],[N°]:[heures annuelles
selon contrat(s)]])=0,"",REVEX!$E$9)</f>
        <v/>
      </c>
      <c r="AI441" s="73" t="str">
        <f>IF(CCTSAS[[#This Row],[Allocation fonctions]]="","",IF(ISNA(VLOOKUP(CCTSAS[[#This Row],[Allocation fonctions]],'Variable et Dropdowns'!H436:H452,1,FALSE))=TRUE,"Veuillez utiliser les allocations parmis la liste déroulante.",""))</f>
        <v/>
      </c>
    </row>
    <row r="442" spans="1:35" x14ac:dyDescent="0.25">
      <c r="A442" s="73" t="str">
        <f>IF(CCTSAS[[#This Row],[Carrière]]="","",IF(ISNA(VLOOKUP(CCTSAS[[#This Row],[Carrière]],DROPDOWN[Dropdown9],1,FALSE))=TRUE,"Carrière: Utiliser la liste déroulante",""))</f>
        <v/>
      </c>
      <c r="B442" s="8"/>
      <c r="C442" s="8"/>
      <c r="D442" s="8"/>
      <c r="E442" s="21"/>
      <c r="F442" s="64"/>
      <c r="G442" s="8"/>
      <c r="H442" s="8"/>
      <c r="I442" s="10"/>
      <c r="J442" s="10"/>
      <c r="K442" s="9"/>
      <c r="L442" s="9"/>
      <c r="M442" s="9"/>
      <c r="N442"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42" s="9"/>
      <c r="P442" s="9"/>
      <c r="Q442" s="8"/>
      <c r="R442" s="38"/>
      <c r="S442" s="38"/>
      <c r="T442" s="38"/>
      <c r="U442" s="38"/>
      <c r="V442" s="38"/>
      <c r="W442" s="38"/>
      <c r="X442" s="38"/>
      <c r="Y442"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42" s="38"/>
      <c r="AA442"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42" s="8"/>
      <c r="AC442" s="203"/>
      <c r="AD442"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42"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42" s="503"/>
      <c r="AG442" s="44"/>
      <c r="AH442" s="189" t="str">
        <f>IF(COUNTA(CCTSAS[[#This Row],[N°]:[heures annuelles
selon contrat(s)]])=0,"",REVEX!$E$9)</f>
        <v/>
      </c>
      <c r="AI442" s="73" t="str">
        <f>IF(CCTSAS[[#This Row],[Allocation fonctions]]="","",IF(ISNA(VLOOKUP(CCTSAS[[#This Row],[Allocation fonctions]],'Variable et Dropdowns'!H437:H453,1,FALSE))=TRUE,"Veuillez utiliser les allocations parmis la liste déroulante.",""))</f>
        <v/>
      </c>
    </row>
    <row r="443" spans="1:35" x14ac:dyDescent="0.25">
      <c r="A443" s="73" t="str">
        <f>IF(CCTSAS[[#This Row],[Carrière]]="","",IF(ISNA(VLOOKUP(CCTSAS[[#This Row],[Carrière]],DROPDOWN[Dropdown9],1,FALSE))=TRUE,"Carrière: Utiliser la liste déroulante",""))</f>
        <v/>
      </c>
      <c r="B443" s="8"/>
      <c r="C443" s="8"/>
      <c r="D443" s="8"/>
      <c r="E443" s="21"/>
      <c r="F443" s="64"/>
      <c r="G443" s="8"/>
      <c r="H443" s="8"/>
      <c r="I443" s="10"/>
      <c r="J443" s="10"/>
      <c r="K443" s="9"/>
      <c r="L443" s="9"/>
      <c r="M443" s="9"/>
      <c r="N443"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43" s="9"/>
      <c r="P443" s="9"/>
      <c r="Q443" s="8"/>
      <c r="R443" s="38"/>
      <c r="S443" s="38"/>
      <c r="T443" s="38"/>
      <c r="U443" s="38"/>
      <c r="V443" s="38"/>
      <c r="W443" s="38"/>
      <c r="X443" s="38"/>
      <c r="Y443"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43" s="38"/>
      <c r="AA443"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43" s="8"/>
      <c r="AC443" s="203"/>
      <c r="AD443"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43"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43" s="503"/>
      <c r="AG443" s="44"/>
      <c r="AH443" s="189" t="str">
        <f>IF(COUNTA(CCTSAS[[#This Row],[N°]:[heures annuelles
selon contrat(s)]])=0,"",REVEX!$E$9)</f>
        <v/>
      </c>
      <c r="AI443" s="73" t="str">
        <f>IF(CCTSAS[[#This Row],[Allocation fonctions]]="","",IF(ISNA(VLOOKUP(CCTSAS[[#This Row],[Allocation fonctions]],'Variable et Dropdowns'!H438:H454,1,FALSE))=TRUE,"Veuillez utiliser les allocations parmis la liste déroulante.",""))</f>
        <v/>
      </c>
    </row>
    <row r="444" spans="1:35" x14ac:dyDescent="0.25">
      <c r="A444" s="73" t="str">
        <f>IF(CCTSAS[[#This Row],[Carrière]]="","",IF(ISNA(VLOOKUP(CCTSAS[[#This Row],[Carrière]],DROPDOWN[Dropdown9],1,FALSE))=TRUE,"Carrière: Utiliser la liste déroulante",""))</f>
        <v/>
      </c>
      <c r="B444" s="8"/>
      <c r="C444" s="8"/>
      <c r="D444" s="8"/>
      <c r="E444" s="21"/>
      <c r="F444" s="64"/>
      <c r="G444" s="8"/>
      <c r="H444" s="8"/>
      <c r="I444" s="10"/>
      <c r="J444" s="10"/>
      <c r="K444" s="9"/>
      <c r="L444" s="9"/>
      <c r="M444" s="9"/>
      <c r="N444"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44" s="9"/>
      <c r="P444" s="9"/>
      <c r="Q444" s="8"/>
      <c r="R444" s="38"/>
      <c r="S444" s="38"/>
      <c r="T444" s="38"/>
      <c r="U444" s="38"/>
      <c r="V444" s="38"/>
      <c r="W444" s="38"/>
      <c r="X444" s="38"/>
      <c r="Y444"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44" s="38"/>
      <c r="AA444"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44" s="8"/>
      <c r="AC444" s="203"/>
      <c r="AD444"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44"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44" s="503"/>
      <c r="AG444" s="44"/>
      <c r="AH444" s="189" t="str">
        <f>IF(COUNTA(CCTSAS[[#This Row],[N°]:[heures annuelles
selon contrat(s)]])=0,"",REVEX!$E$9)</f>
        <v/>
      </c>
      <c r="AI444" s="73" t="str">
        <f>IF(CCTSAS[[#This Row],[Allocation fonctions]]="","",IF(ISNA(VLOOKUP(CCTSAS[[#This Row],[Allocation fonctions]],'Variable et Dropdowns'!H439:H455,1,FALSE))=TRUE,"Veuillez utiliser les allocations parmis la liste déroulante.",""))</f>
        <v/>
      </c>
    </row>
    <row r="445" spans="1:35" x14ac:dyDescent="0.25">
      <c r="A445" s="73" t="str">
        <f>IF(CCTSAS[[#This Row],[Carrière]]="","",IF(ISNA(VLOOKUP(CCTSAS[[#This Row],[Carrière]],DROPDOWN[Dropdown9],1,FALSE))=TRUE,"Carrière: Utiliser la liste déroulante",""))</f>
        <v/>
      </c>
      <c r="B445" s="8"/>
      <c r="C445" s="8"/>
      <c r="D445" s="8"/>
      <c r="E445" s="21"/>
      <c r="F445" s="64"/>
      <c r="G445" s="8"/>
      <c r="H445" s="8"/>
      <c r="I445" s="10"/>
      <c r="J445" s="10"/>
      <c r="K445" s="9"/>
      <c r="L445" s="9"/>
      <c r="M445" s="9"/>
      <c r="N445"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45" s="9"/>
      <c r="P445" s="9"/>
      <c r="Q445" s="8"/>
      <c r="R445" s="38"/>
      <c r="S445" s="38"/>
      <c r="T445" s="38"/>
      <c r="U445" s="38"/>
      <c r="V445" s="38"/>
      <c r="W445" s="38"/>
      <c r="X445" s="38"/>
      <c r="Y445"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45" s="38"/>
      <c r="AA445"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45" s="8"/>
      <c r="AC445" s="203"/>
      <c r="AD445"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45"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45" s="503"/>
      <c r="AG445" s="44"/>
      <c r="AH445" s="189" t="str">
        <f>IF(COUNTA(CCTSAS[[#This Row],[N°]:[heures annuelles
selon contrat(s)]])=0,"",REVEX!$E$9)</f>
        <v/>
      </c>
      <c r="AI445" s="73" t="str">
        <f>IF(CCTSAS[[#This Row],[Allocation fonctions]]="","",IF(ISNA(VLOOKUP(CCTSAS[[#This Row],[Allocation fonctions]],'Variable et Dropdowns'!H440:H456,1,FALSE))=TRUE,"Veuillez utiliser les allocations parmis la liste déroulante.",""))</f>
        <v/>
      </c>
    </row>
    <row r="446" spans="1:35" x14ac:dyDescent="0.25">
      <c r="A446" s="73" t="str">
        <f>IF(CCTSAS[[#This Row],[Carrière]]="","",IF(ISNA(VLOOKUP(CCTSAS[[#This Row],[Carrière]],DROPDOWN[Dropdown9],1,FALSE))=TRUE,"Carrière: Utiliser la liste déroulante",""))</f>
        <v/>
      </c>
      <c r="B446" s="8"/>
      <c r="C446" s="8"/>
      <c r="D446" s="8"/>
      <c r="E446" s="21"/>
      <c r="F446" s="64"/>
      <c r="G446" s="8"/>
      <c r="H446" s="8"/>
      <c r="I446" s="10"/>
      <c r="J446" s="10"/>
      <c r="K446" s="9"/>
      <c r="L446" s="9"/>
      <c r="M446" s="9"/>
      <c r="N446"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46" s="9"/>
      <c r="P446" s="9"/>
      <c r="Q446" s="8"/>
      <c r="R446" s="38"/>
      <c r="S446" s="38"/>
      <c r="T446" s="38"/>
      <c r="U446" s="38"/>
      <c r="V446" s="38"/>
      <c r="W446" s="38"/>
      <c r="X446" s="38"/>
      <c r="Y446"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46" s="38"/>
      <c r="AA446"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46" s="8"/>
      <c r="AC446" s="203"/>
      <c r="AD446"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46"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46" s="503"/>
      <c r="AG446" s="44"/>
      <c r="AH446" s="189" t="str">
        <f>IF(COUNTA(CCTSAS[[#This Row],[N°]:[heures annuelles
selon contrat(s)]])=0,"",REVEX!$E$9)</f>
        <v/>
      </c>
      <c r="AI446" s="73" t="str">
        <f>IF(CCTSAS[[#This Row],[Allocation fonctions]]="","",IF(ISNA(VLOOKUP(CCTSAS[[#This Row],[Allocation fonctions]],'Variable et Dropdowns'!H441:H457,1,FALSE))=TRUE,"Veuillez utiliser les allocations parmis la liste déroulante.",""))</f>
        <v/>
      </c>
    </row>
    <row r="447" spans="1:35" x14ac:dyDescent="0.25">
      <c r="A447" s="73" t="str">
        <f>IF(CCTSAS[[#This Row],[Carrière]]="","",IF(ISNA(VLOOKUP(CCTSAS[[#This Row],[Carrière]],DROPDOWN[Dropdown9],1,FALSE))=TRUE,"Carrière: Utiliser la liste déroulante",""))</f>
        <v/>
      </c>
      <c r="B447" s="8"/>
      <c r="C447" s="8"/>
      <c r="D447" s="8"/>
      <c r="E447" s="21"/>
      <c r="F447" s="64"/>
      <c r="G447" s="8"/>
      <c r="H447" s="8"/>
      <c r="I447" s="10"/>
      <c r="J447" s="10"/>
      <c r="K447" s="9"/>
      <c r="L447" s="9"/>
      <c r="M447" s="9"/>
      <c r="N447"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47" s="9"/>
      <c r="P447" s="9"/>
      <c r="Q447" s="8"/>
      <c r="R447" s="38"/>
      <c r="S447" s="38"/>
      <c r="T447" s="38"/>
      <c r="U447" s="38"/>
      <c r="V447" s="38"/>
      <c r="W447" s="38"/>
      <c r="X447" s="38"/>
      <c r="Y447"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47" s="38"/>
      <c r="AA447"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47" s="8"/>
      <c r="AC447" s="203"/>
      <c r="AD447"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47"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47" s="503"/>
      <c r="AG447" s="44"/>
      <c r="AH447" s="189" t="str">
        <f>IF(COUNTA(CCTSAS[[#This Row],[N°]:[heures annuelles
selon contrat(s)]])=0,"",REVEX!$E$9)</f>
        <v/>
      </c>
      <c r="AI447" s="73" t="str">
        <f>IF(CCTSAS[[#This Row],[Allocation fonctions]]="","",IF(ISNA(VLOOKUP(CCTSAS[[#This Row],[Allocation fonctions]],'Variable et Dropdowns'!H442:H458,1,FALSE))=TRUE,"Veuillez utiliser les allocations parmis la liste déroulante.",""))</f>
        <v/>
      </c>
    </row>
    <row r="448" spans="1:35" x14ac:dyDescent="0.25">
      <c r="A448" s="73" t="str">
        <f>IF(CCTSAS[[#This Row],[Carrière]]="","",IF(ISNA(VLOOKUP(CCTSAS[[#This Row],[Carrière]],DROPDOWN[Dropdown9],1,FALSE))=TRUE,"Carrière: Utiliser la liste déroulante",""))</f>
        <v/>
      </c>
      <c r="B448" s="8"/>
      <c r="C448" s="8"/>
      <c r="D448" s="8"/>
      <c r="E448" s="21"/>
      <c r="F448" s="64"/>
      <c r="G448" s="8"/>
      <c r="H448" s="8"/>
      <c r="I448" s="10"/>
      <c r="J448" s="10"/>
      <c r="K448" s="9"/>
      <c r="L448" s="9"/>
      <c r="M448" s="9"/>
      <c r="N448"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48" s="9"/>
      <c r="P448" s="9"/>
      <c r="Q448" s="8"/>
      <c r="R448" s="38"/>
      <c r="S448" s="38"/>
      <c r="T448" s="38"/>
      <c r="U448" s="38"/>
      <c r="V448" s="38"/>
      <c r="W448" s="38"/>
      <c r="X448" s="38"/>
      <c r="Y448"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48" s="38"/>
      <c r="AA448"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48" s="8"/>
      <c r="AC448" s="203"/>
      <c r="AD448"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48"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48" s="503"/>
      <c r="AG448" s="44"/>
      <c r="AH448" s="189" t="str">
        <f>IF(COUNTA(CCTSAS[[#This Row],[N°]:[heures annuelles
selon contrat(s)]])=0,"",REVEX!$E$9)</f>
        <v/>
      </c>
      <c r="AI448" s="73" t="str">
        <f>IF(CCTSAS[[#This Row],[Allocation fonctions]]="","",IF(ISNA(VLOOKUP(CCTSAS[[#This Row],[Allocation fonctions]],'Variable et Dropdowns'!H443:H459,1,FALSE))=TRUE,"Veuillez utiliser les allocations parmis la liste déroulante.",""))</f>
        <v/>
      </c>
    </row>
    <row r="449" spans="1:35" x14ac:dyDescent="0.25">
      <c r="A449" s="73" t="str">
        <f>IF(CCTSAS[[#This Row],[Carrière]]="","",IF(ISNA(VLOOKUP(CCTSAS[[#This Row],[Carrière]],DROPDOWN[Dropdown9],1,FALSE))=TRUE,"Carrière: Utiliser la liste déroulante",""))</f>
        <v/>
      </c>
      <c r="B449" s="8"/>
      <c r="C449" s="8"/>
      <c r="D449" s="8"/>
      <c r="E449" s="21"/>
      <c r="F449" s="64"/>
      <c r="G449" s="8"/>
      <c r="H449" s="8"/>
      <c r="I449" s="10"/>
      <c r="J449" s="10"/>
      <c r="K449" s="9"/>
      <c r="L449" s="9"/>
      <c r="M449" s="9"/>
      <c r="N449"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49" s="9"/>
      <c r="P449" s="9"/>
      <c r="Q449" s="8"/>
      <c r="R449" s="38"/>
      <c r="S449" s="38"/>
      <c r="T449" s="38"/>
      <c r="U449" s="38"/>
      <c r="V449" s="38"/>
      <c r="W449" s="38"/>
      <c r="X449" s="38"/>
      <c r="Y449"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49" s="38"/>
      <c r="AA449"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49" s="8"/>
      <c r="AC449" s="203"/>
      <c r="AD449"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49"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49" s="503"/>
      <c r="AG449" s="44"/>
      <c r="AH449" s="189" t="str">
        <f>IF(COUNTA(CCTSAS[[#This Row],[N°]:[heures annuelles
selon contrat(s)]])=0,"",REVEX!$E$9)</f>
        <v/>
      </c>
      <c r="AI449" s="73" t="str">
        <f>IF(CCTSAS[[#This Row],[Allocation fonctions]]="","",IF(ISNA(VLOOKUP(CCTSAS[[#This Row],[Allocation fonctions]],'Variable et Dropdowns'!H444:H460,1,FALSE))=TRUE,"Veuillez utiliser les allocations parmis la liste déroulante.",""))</f>
        <v/>
      </c>
    </row>
    <row r="450" spans="1:35" x14ac:dyDescent="0.25">
      <c r="A450" s="73" t="str">
        <f>IF(CCTSAS[[#This Row],[Carrière]]="","",IF(ISNA(VLOOKUP(CCTSAS[[#This Row],[Carrière]],DROPDOWN[Dropdown9],1,FALSE))=TRUE,"Carrière: Utiliser la liste déroulante",""))</f>
        <v/>
      </c>
      <c r="B450" s="8"/>
      <c r="C450" s="8"/>
      <c r="D450" s="8"/>
      <c r="E450" s="21"/>
      <c r="F450" s="64"/>
      <c r="G450" s="8"/>
      <c r="H450" s="8"/>
      <c r="I450" s="10"/>
      <c r="J450" s="10"/>
      <c r="K450" s="9"/>
      <c r="L450" s="9"/>
      <c r="M450" s="9"/>
      <c r="N450"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50" s="9"/>
      <c r="P450" s="9"/>
      <c r="Q450" s="8"/>
      <c r="R450" s="38"/>
      <c r="S450" s="38"/>
      <c r="T450" s="38"/>
      <c r="U450" s="38"/>
      <c r="V450" s="38"/>
      <c r="W450" s="38"/>
      <c r="X450" s="38"/>
      <c r="Y450"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50" s="38"/>
      <c r="AA450"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50" s="8"/>
      <c r="AC450" s="203"/>
      <c r="AD450"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50"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50" s="503"/>
      <c r="AG450" s="44"/>
      <c r="AH450" s="189" t="str">
        <f>IF(COUNTA(CCTSAS[[#This Row],[N°]:[heures annuelles
selon contrat(s)]])=0,"",REVEX!$E$9)</f>
        <v/>
      </c>
      <c r="AI450" s="73" t="str">
        <f>IF(CCTSAS[[#This Row],[Allocation fonctions]]="","",IF(ISNA(VLOOKUP(CCTSAS[[#This Row],[Allocation fonctions]],'Variable et Dropdowns'!H445:H461,1,FALSE))=TRUE,"Veuillez utiliser les allocations parmis la liste déroulante.",""))</f>
        <v/>
      </c>
    </row>
    <row r="451" spans="1:35" x14ac:dyDescent="0.25">
      <c r="A451" s="73" t="str">
        <f>IF(CCTSAS[[#This Row],[Carrière]]="","",IF(ISNA(VLOOKUP(CCTSAS[[#This Row],[Carrière]],DROPDOWN[Dropdown9],1,FALSE))=TRUE,"Carrière: Utiliser la liste déroulante",""))</f>
        <v/>
      </c>
      <c r="B451" s="8"/>
      <c r="C451" s="8"/>
      <c r="D451" s="8"/>
      <c r="E451" s="21"/>
      <c r="F451" s="64"/>
      <c r="G451" s="8"/>
      <c r="H451" s="8"/>
      <c r="I451" s="10"/>
      <c r="J451" s="10"/>
      <c r="K451" s="9"/>
      <c r="L451" s="9"/>
      <c r="M451" s="9"/>
      <c r="N451"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51" s="9"/>
      <c r="P451" s="9"/>
      <c r="Q451" s="8"/>
      <c r="R451" s="38"/>
      <c r="S451" s="38"/>
      <c r="T451" s="38"/>
      <c r="U451" s="38"/>
      <c r="V451" s="38"/>
      <c r="W451" s="38"/>
      <c r="X451" s="38"/>
      <c r="Y451"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51" s="38"/>
      <c r="AA451"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51" s="8"/>
      <c r="AC451" s="203"/>
      <c r="AD451"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51"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51" s="503"/>
      <c r="AG451" s="44"/>
      <c r="AH451" s="189" t="str">
        <f>IF(COUNTA(CCTSAS[[#This Row],[N°]:[heures annuelles
selon contrat(s)]])=0,"",REVEX!$E$9)</f>
        <v/>
      </c>
      <c r="AI451" s="73" t="str">
        <f>IF(CCTSAS[[#This Row],[Allocation fonctions]]="","",IF(ISNA(VLOOKUP(CCTSAS[[#This Row],[Allocation fonctions]],'Variable et Dropdowns'!H446:H462,1,FALSE))=TRUE,"Veuillez utiliser les allocations parmis la liste déroulante.",""))</f>
        <v/>
      </c>
    </row>
    <row r="452" spans="1:35" x14ac:dyDescent="0.25">
      <c r="A452" s="73" t="str">
        <f>IF(CCTSAS[[#This Row],[Carrière]]="","",IF(ISNA(VLOOKUP(CCTSAS[[#This Row],[Carrière]],DROPDOWN[Dropdown9],1,FALSE))=TRUE,"Carrière: Utiliser la liste déroulante",""))</f>
        <v/>
      </c>
      <c r="B452" s="8"/>
      <c r="C452" s="8"/>
      <c r="D452" s="8"/>
      <c r="E452" s="21"/>
      <c r="F452" s="64"/>
      <c r="G452" s="8"/>
      <c r="H452" s="8"/>
      <c r="I452" s="10"/>
      <c r="J452" s="10"/>
      <c r="K452" s="9"/>
      <c r="L452" s="9"/>
      <c r="M452" s="9"/>
      <c r="N452"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52" s="9"/>
      <c r="P452" s="9"/>
      <c r="Q452" s="8"/>
      <c r="R452" s="38"/>
      <c r="S452" s="38"/>
      <c r="T452" s="38"/>
      <c r="U452" s="38"/>
      <c r="V452" s="38"/>
      <c r="W452" s="38"/>
      <c r="X452" s="38"/>
      <c r="Y452"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52" s="38"/>
      <c r="AA452"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52" s="8"/>
      <c r="AC452" s="203"/>
      <c r="AD452"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52"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52" s="503"/>
      <c r="AG452" s="44"/>
      <c r="AH452" s="189" t="str">
        <f>IF(COUNTA(CCTSAS[[#This Row],[N°]:[heures annuelles
selon contrat(s)]])=0,"",REVEX!$E$9)</f>
        <v/>
      </c>
      <c r="AI452" s="73" t="str">
        <f>IF(CCTSAS[[#This Row],[Allocation fonctions]]="","",IF(ISNA(VLOOKUP(CCTSAS[[#This Row],[Allocation fonctions]],'Variable et Dropdowns'!H447:H463,1,FALSE))=TRUE,"Veuillez utiliser les allocations parmis la liste déroulante.",""))</f>
        <v/>
      </c>
    </row>
    <row r="453" spans="1:35" x14ac:dyDescent="0.25">
      <c r="A453" s="73" t="str">
        <f>IF(CCTSAS[[#This Row],[Carrière]]="","",IF(ISNA(VLOOKUP(CCTSAS[[#This Row],[Carrière]],DROPDOWN[Dropdown9],1,FALSE))=TRUE,"Carrière: Utiliser la liste déroulante",""))</f>
        <v/>
      </c>
      <c r="B453" s="8"/>
      <c r="C453" s="8"/>
      <c r="D453" s="8"/>
      <c r="E453" s="21"/>
      <c r="F453" s="64"/>
      <c r="G453" s="8"/>
      <c r="H453" s="8"/>
      <c r="I453" s="10"/>
      <c r="J453" s="10"/>
      <c r="K453" s="9"/>
      <c r="L453" s="9"/>
      <c r="M453" s="9"/>
      <c r="N453"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53" s="9"/>
      <c r="P453" s="9"/>
      <c r="Q453" s="8"/>
      <c r="R453" s="38"/>
      <c r="S453" s="38"/>
      <c r="T453" s="38"/>
      <c r="U453" s="38"/>
      <c r="V453" s="38"/>
      <c r="W453" s="38"/>
      <c r="X453" s="38"/>
      <c r="Y453"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53" s="38"/>
      <c r="AA453"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53" s="8"/>
      <c r="AC453" s="203"/>
      <c r="AD453"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53"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53" s="503"/>
      <c r="AG453" s="44"/>
      <c r="AH453" s="189" t="str">
        <f>IF(COUNTA(CCTSAS[[#This Row],[N°]:[heures annuelles
selon contrat(s)]])=0,"",REVEX!$E$9)</f>
        <v/>
      </c>
      <c r="AI453" s="73" t="str">
        <f>IF(CCTSAS[[#This Row],[Allocation fonctions]]="","",IF(ISNA(VLOOKUP(CCTSAS[[#This Row],[Allocation fonctions]],'Variable et Dropdowns'!H448:H464,1,FALSE))=TRUE,"Veuillez utiliser les allocations parmis la liste déroulante.",""))</f>
        <v/>
      </c>
    </row>
    <row r="454" spans="1:35" x14ac:dyDescent="0.25">
      <c r="A454" s="73" t="str">
        <f>IF(CCTSAS[[#This Row],[Carrière]]="","",IF(ISNA(VLOOKUP(CCTSAS[[#This Row],[Carrière]],DROPDOWN[Dropdown9],1,FALSE))=TRUE,"Carrière: Utiliser la liste déroulante",""))</f>
        <v/>
      </c>
      <c r="B454" s="8"/>
      <c r="C454" s="8"/>
      <c r="D454" s="8"/>
      <c r="E454" s="21"/>
      <c r="F454" s="64"/>
      <c r="G454" s="8"/>
      <c r="H454" s="8"/>
      <c r="I454" s="10"/>
      <c r="J454" s="10"/>
      <c r="K454" s="9"/>
      <c r="L454" s="9"/>
      <c r="M454" s="9"/>
      <c r="N454"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54" s="9"/>
      <c r="P454" s="9"/>
      <c r="Q454" s="8"/>
      <c r="R454" s="38"/>
      <c r="S454" s="38"/>
      <c r="T454" s="38"/>
      <c r="U454" s="38"/>
      <c r="V454" s="38"/>
      <c r="W454" s="38"/>
      <c r="X454" s="38"/>
      <c r="Y454"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54" s="38"/>
      <c r="AA454"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54" s="8"/>
      <c r="AC454" s="203"/>
      <c r="AD454"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54"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54" s="503"/>
      <c r="AG454" s="44"/>
      <c r="AH454" s="189" t="str">
        <f>IF(COUNTA(CCTSAS[[#This Row],[N°]:[heures annuelles
selon contrat(s)]])=0,"",REVEX!$E$9)</f>
        <v/>
      </c>
      <c r="AI454" s="73" t="str">
        <f>IF(CCTSAS[[#This Row],[Allocation fonctions]]="","",IF(ISNA(VLOOKUP(CCTSAS[[#This Row],[Allocation fonctions]],'Variable et Dropdowns'!H449:H465,1,FALSE))=TRUE,"Veuillez utiliser les allocations parmis la liste déroulante.",""))</f>
        <v/>
      </c>
    </row>
    <row r="455" spans="1:35" x14ac:dyDescent="0.25">
      <c r="A455" s="73" t="str">
        <f>IF(CCTSAS[[#This Row],[Carrière]]="","",IF(ISNA(VLOOKUP(CCTSAS[[#This Row],[Carrière]],DROPDOWN[Dropdown9],1,FALSE))=TRUE,"Carrière: Utiliser la liste déroulante",""))</f>
        <v/>
      </c>
      <c r="B455" s="8"/>
      <c r="C455" s="8"/>
      <c r="D455" s="8"/>
      <c r="E455" s="21"/>
      <c r="F455" s="64"/>
      <c r="G455" s="8"/>
      <c r="H455" s="8"/>
      <c r="I455" s="10"/>
      <c r="J455" s="10"/>
      <c r="K455" s="9"/>
      <c r="L455" s="9"/>
      <c r="M455" s="9"/>
      <c r="N455"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55" s="9"/>
      <c r="P455" s="9"/>
      <c r="Q455" s="8"/>
      <c r="R455" s="38"/>
      <c r="S455" s="38"/>
      <c r="T455" s="38"/>
      <c r="U455" s="38"/>
      <c r="V455" s="38"/>
      <c r="W455" s="38"/>
      <c r="X455" s="38"/>
      <c r="Y455"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55" s="38"/>
      <c r="AA455"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55" s="8"/>
      <c r="AC455" s="203"/>
      <c r="AD455"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55"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55" s="503"/>
      <c r="AG455" s="44"/>
      <c r="AH455" s="189" t="str">
        <f>IF(COUNTA(CCTSAS[[#This Row],[N°]:[heures annuelles
selon contrat(s)]])=0,"",REVEX!$E$9)</f>
        <v/>
      </c>
      <c r="AI455" s="73" t="str">
        <f>IF(CCTSAS[[#This Row],[Allocation fonctions]]="","",IF(ISNA(VLOOKUP(CCTSAS[[#This Row],[Allocation fonctions]],'Variable et Dropdowns'!H450:H466,1,FALSE))=TRUE,"Veuillez utiliser les allocations parmis la liste déroulante.",""))</f>
        <v/>
      </c>
    </row>
    <row r="456" spans="1:35" x14ac:dyDescent="0.25">
      <c r="A456" s="73" t="str">
        <f>IF(CCTSAS[[#This Row],[Carrière]]="","",IF(ISNA(VLOOKUP(CCTSAS[[#This Row],[Carrière]],DROPDOWN[Dropdown9],1,FALSE))=TRUE,"Carrière: Utiliser la liste déroulante",""))</f>
        <v/>
      </c>
      <c r="B456" s="8"/>
      <c r="C456" s="8"/>
      <c r="D456" s="8"/>
      <c r="E456" s="21"/>
      <c r="F456" s="64"/>
      <c r="G456" s="8"/>
      <c r="H456" s="8"/>
      <c r="I456" s="10"/>
      <c r="J456" s="10"/>
      <c r="K456" s="9"/>
      <c r="L456" s="9"/>
      <c r="M456" s="9"/>
      <c r="N456"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56" s="9"/>
      <c r="P456" s="9"/>
      <c r="Q456" s="8"/>
      <c r="R456" s="38"/>
      <c r="S456" s="38"/>
      <c r="T456" s="38"/>
      <c r="U456" s="38"/>
      <c r="V456" s="38"/>
      <c r="W456" s="38"/>
      <c r="X456" s="38"/>
      <c r="Y456"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56" s="38"/>
      <c r="AA456"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56" s="8"/>
      <c r="AC456" s="203"/>
      <c r="AD456"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56"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56" s="503"/>
      <c r="AG456" s="44"/>
      <c r="AH456" s="189" t="str">
        <f>IF(COUNTA(CCTSAS[[#This Row],[N°]:[heures annuelles
selon contrat(s)]])=0,"",REVEX!$E$9)</f>
        <v/>
      </c>
      <c r="AI456" s="73" t="str">
        <f>IF(CCTSAS[[#This Row],[Allocation fonctions]]="","",IF(ISNA(VLOOKUP(CCTSAS[[#This Row],[Allocation fonctions]],'Variable et Dropdowns'!H451:H467,1,FALSE))=TRUE,"Veuillez utiliser les allocations parmis la liste déroulante.",""))</f>
        <v/>
      </c>
    </row>
    <row r="457" spans="1:35" x14ac:dyDescent="0.25">
      <c r="A457" s="73" t="str">
        <f>IF(CCTSAS[[#This Row],[Carrière]]="","",IF(ISNA(VLOOKUP(CCTSAS[[#This Row],[Carrière]],DROPDOWN[Dropdown9],1,FALSE))=TRUE,"Carrière: Utiliser la liste déroulante",""))</f>
        <v/>
      </c>
      <c r="B457" s="8"/>
      <c r="C457" s="8"/>
      <c r="D457" s="8"/>
      <c r="E457" s="21"/>
      <c r="F457" s="64"/>
      <c r="G457" s="8"/>
      <c r="H457" s="8"/>
      <c r="I457" s="10"/>
      <c r="J457" s="10"/>
      <c r="K457" s="9"/>
      <c r="L457" s="9"/>
      <c r="M457" s="9"/>
      <c r="N457"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57" s="9"/>
      <c r="P457" s="9"/>
      <c r="Q457" s="8"/>
      <c r="R457" s="38"/>
      <c r="S457" s="38"/>
      <c r="T457" s="38"/>
      <c r="U457" s="38"/>
      <c r="V457" s="38"/>
      <c r="W457" s="38"/>
      <c r="X457" s="38"/>
      <c r="Y457"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57" s="38"/>
      <c r="AA457"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57" s="8"/>
      <c r="AC457" s="203"/>
      <c r="AD457"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57"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57" s="503"/>
      <c r="AG457" s="44"/>
      <c r="AH457" s="189" t="str">
        <f>IF(COUNTA(CCTSAS[[#This Row],[N°]:[heures annuelles
selon contrat(s)]])=0,"",REVEX!$E$9)</f>
        <v/>
      </c>
      <c r="AI457" s="73" t="str">
        <f>IF(CCTSAS[[#This Row],[Allocation fonctions]]="","",IF(ISNA(VLOOKUP(CCTSAS[[#This Row],[Allocation fonctions]],'Variable et Dropdowns'!H452:H468,1,FALSE))=TRUE,"Veuillez utiliser les allocations parmis la liste déroulante.",""))</f>
        <v/>
      </c>
    </row>
    <row r="458" spans="1:35" x14ac:dyDescent="0.25">
      <c r="A458" s="73" t="str">
        <f>IF(CCTSAS[[#This Row],[Carrière]]="","",IF(ISNA(VLOOKUP(CCTSAS[[#This Row],[Carrière]],DROPDOWN[Dropdown9],1,FALSE))=TRUE,"Carrière: Utiliser la liste déroulante",""))</f>
        <v/>
      </c>
      <c r="B458" s="8"/>
      <c r="C458" s="8"/>
      <c r="D458" s="8"/>
      <c r="E458" s="21"/>
      <c r="F458" s="64"/>
      <c r="G458" s="8"/>
      <c r="H458" s="8"/>
      <c r="I458" s="10"/>
      <c r="J458" s="10"/>
      <c r="K458" s="9"/>
      <c r="L458" s="9"/>
      <c r="M458" s="9"/>
      <c r="N458"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58" s="9"/>
      <c r="P458" s="9"/>
      <c r="Q458" s="8"/>
      <c r="R458" s="38"/>
      <c r="S458" s="38"/>
      <c r="T458" s="38"/>
      <c r="U458" s="38"/>
      <c r="V458" s="38"/>
      <c r="W458" s="38"/>
      <c r="X458" s="38"/>
      <c r="Y458"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58" s="38"/>
      <c r="AA458"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58" s="8"/>
      <c r="AC458" s="203"/>
      <c r="AD458"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58"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58" s="503"/>
      <c r="AG458" s="44"/>
      <c r="AH458" s="189" t="str">
        <f>IF(COUNTA(CCTSAS[[#This Row],[N°]:[heures annuelles
selon contrat(s)]])=0,"",REVEX!$E$9)</f>
        <v/>
      </c>
      <c r="AI458" s="73" t="str">
        <f>IF(CCTSAS[[#This Row],[Allocation fonctions]]="","",IF(ISNA(VLOOKUP(CCTSAS[[#This Row],[Allocation fonctions]],'Variable et Dropdowns'!H453:H469,1,FALSE))=TRUE,"Veuillez utiliser les allocations parmis la liste déroulante.",""))</f>
        <v/>
      </c>
    </row>
    <row r="459" spans="1:35" x14ac:dyDescent="0.25">
      <c r="A459" s="73" t="str">
        <f>IF(CCTSAS[[#This Row],[Carrière]]="","",IF(ISNA(VLOOKUP(CCTSAS[[#This Row],[Carrière]],DROPDOWN[Dropdown9],1,FALSE))=TRUE,"Carrière: Utiliser la liste déroulante",""))</f>
        <v/>
      </c>
      <c r="B459" s="8"/>
      <c r="C459" s="8"/>
      <c r="D459" s="8"/>
      <c r="E459" s="21"/>
      <c r="F459" s="64"/>
      <c r="G459" s="8"/>
      <c r="H459" s="8"/>
      <c r="I459" s="10"/>
      <c r="J459" s="10"/>
      <c r="K459" s="9"/>
      <c r="L459" s="9"/>
      <c r="M459" s="9"/>
      <c r="N459"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59" s="9"/>
      <c r="P459" s="9"/>
      <c r="Q459" s="8"/>
      <c r="R459" s="38"/>
      <c r="S459" s="38"/>
      <c r="T459" s="38"/>
      <c r="U459" s="38"/>
      <c r="V459" s="38"/>
      <c r="W459" s="38"/>
      <c r="X459" s="38"/>
      <c r="Y459"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59" s="38"/>
      <c r="AA459"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59" s="8"/>
      <c r="AC459" s="203"/>
      <c r="AD459"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59"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59" s="503"/>
      <c r="AG459" s="44"/>
      <c r="AH459" s="189" t="str">
        <f>IF(COUNTA(CCTSAS[[#This Row],[N°]:[heures annuelles
selon contrat(s)]])=0,"",REVEX!$E$9)</f>
        <v/>
      </c>
      <c r="AI459" s="73" t="str">
        <f>IF(CCTSAS[[#This Row],[Allocation fonctions]]="","",IF(ISNA(VLOOKUP(CCTSAS[[#This Row],[Allocation fonctions]],'Variable et Dropdowns'!H454:H470,1,FALSE))=TRUE,"Veuillez utiliser les allocations parmis la liste déroulante.",""))</f>
        <v/>
      </c>
    </row>
    <row r="460" spans="1:35" x14ac:dyDescent="0.25">
      <c r="A460" s="73" t="str">
        <f>IF(CCTSAS[[#This Row],[Carrière]]="","",IF(ISNA(VLOOKUP(CCTSAS[[#This Row],[Carrière]],DROPDOWN[Dropdown9],1,FALSE))=TRUE,"Carrière: Utiliser la liste déroulante",""))</f>
        <v/>
      </c>
      <c r="B460" s="8"/>
      <c r="C460" s="8"/>
      <c r="D460" s="8"/>
      <c r="E460" s="21"/>
      <c r="F460" s="64"/>
      <c r="G460" s="8"/>
      <c r="H460" s="8"/>
      <c r="I460" s="10"/>
      <c r="J460" s="10"/>
      <c r="K460" s="9"/>
      <c r="L460" s="9"/>
      <c r="M460" s="9"/>
      <c r="N460"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60" s="9"/>
      <c r="P460" s="9"/>
      <c r="Q460" s="8"/>
      <c r="R460" s="38"/>
      <c r="S460" s="38"/>
      <c r="T460" s="38"/>
      <c r="U460" s="38"/>
      <c r="V460" s="38"/>
      <c r="W460" s="38"/>
      <c r="X460" s="38"/>
      <c r="Y460"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60" s="38"/>
      <c r="AA460"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60" s="8"/>
      <c r="AC460" s="203"/>
      <c r="AD460"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60"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60" s="503"/>
      <c r="AG460" s="44"/>
      <c r="AH460" s="189" t="str">
        <f>IF(COUNTA(CCTSAS[[#This Row],[N°]:[heures annuelles
selon contrat(s)]])=0,"",REVEX!$E$9)</f>
        <v/>
      </c>
      <c r="AI460" s="73" t="str">
        <f>IF(CCTSAS[[#This Row],[Allocation fonctions]]="","",IF(ISNA(VLOOKUP(CCTSAS[[#This Row],[Allocation fonctions]],'Variable et Dropdowns'!H455:H471,1,FALSE))=TRUE,"Veuillez utiliser les allocations parmis la liste déroulante.",""))</f>
        <v/>
      </c>
    </row>
    <row r="461" spans="1:35" x14ac:dyDescent="0.25">
      <c r="A461" s="73" t="str">
        <f>IF(CCTSAS[[#This Row],[Carrière]]="","",IF(ISNA(VLOOKUP(CCTSAS[[#This Row],[Carrière]],DROPDOWN[Dropdown9],1,FALSE))=TRUE,"Carrière: Utiliser la liste déroulante",""))</f>
        <v/>
      </c>
      <c r="B461" s="8"/>
      <c r="C461" s="8"/>
      <c r="D461" s="8"/>
      <c r="E461" s="21"/>
      <c r="F461" s="64"/>
      <c r="G461" s="8"/>
      <c r="H461" s="8"/>
      <c r="I461" s="10"/>
      <c r="J461" s="10"/>
      <c r="K461" s="9"/>
      <c r="L461" s="9"/>
      <c r="M461" s="9"/>
      <c r="N461"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61" s="9"/>
      <c r="P461" s="9"/>
      <c r="Q461" s="8"/>
      <c r="R461" s="38"/>
      <c r="S461" s="38"/>
      <c r="T461" s="38"/>
      <c r="U461" s="38"/>
      <c r="V461" s="38"/>
      <c r="W461" s="38"/>
      <c r="X461" s="38"/>
      <c r="Y461"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61" s="38"/>
      <c r="AA461"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61" s="8"/>
      <c r="AC461" s="203"/>
      <c r="AD461"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61"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61" s="503"/>
      <c r="AG461" s="44"/>
      <c r="AH461" s="189" t="str">
        <f>IF(COUNTA(CCTSAS[[#This Row],[N°]:[heures annuelles
selon contrat(s)]])=0,"",REVEX!$E$9)</f>
        <v/>
      </c>
      <c r="AI461" s="73" t="str">
        <f>IF(CCTSAS[[#This Row],[Allocation fonctions]]="","",IF(ISNA(VLOOKUP(CCTSAS[[#This Row],[Allocation fonctions]],'Variable et Dropdowns'!H456:H472,1,FALSE))=TRUE,"Veuillez utiliser les allocations parmis la liste déroulante.",""))</f>
        <v/>
      </c>
    </row>
    <row r="462" spans="1:35" x14ac:dyDescent="0.25">
      <c r="A462" s="73" t="str">
        <f>IF(CCTSAS[[#This Row],[Carrière]]="","",IF(ISNA(VLOOKUP(CCTSAS[[#This Row],[Carrière]],DROPDOWN[Dropdown9],1,FALSE))=TRUE,"Carrière: Utiliser la liste déroulante",""))</f>
        <v/>
      </c>
      <c r="B462" s="8"/>
      <c r="C462" s="8"/>
      <c r="D462" s="8"/>
      <c r="E462" s="21"/>
      <c r="F462" s="64"/>
      <c r="G462" s="8"/>
      <c r="H462" s="8"/>
      <c r="I462" s="10"/>
      <c r="J462" s="10"/>
      <c r="K462" s="9"/>
      <c r="L462" s="9"/>
      <c r="M462" s="9"/>
      <c r="N462"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62" s="9"/>
      <c r="P462" s="9"/>
      <c r="Q462" s="8"/>
      <c r="R462" s="38"/>
      <c r="S462" s="38"/>
      <c r="T462" s="38"/>
      <c r="U462" s="38"/>
      <c r="V462" s="38"/>
      <c r="W462" s="38"/>
      <c r="X462" s="38"/>
      <c r="Y462"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62" s="38"/>
      <c r="AA462"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62" s="8"/>
      <c r="AC462" s="203"/>
      <c r="AD462"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62"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62" s="503"/>
      <c r="AG462" s="44"/>
      <c r="AH462" s="189" t="str">
        <f>IF(COUNTA(CCTSAS[[#This Row],[N°]:[heures annuelles
selon contrat(s)]])=0,"",REVEX!$E$9)</f>
        <v/>
      </c>
      <c r="AI462" s="73" t="str">
        <f>IF(CCTSAS[[#This Row],[Allocation fonctions]]="","",IF(ISNA(VLOOKUP(CCTSAS[[#This Row],[Allocation fonctions]],'Variable et Dropdowns'!H457:H473,1,FALSE))=TRUE,"Veuillez utiliser les allocations parmis la liste déroulante.",""))</f>
        <v/>
      </c>
    </row>
    <row r="463" spans="1:35" x14ac:dyDescent="0.25">
      <c r="A463" s="73" t="str">
        <f>IF(CCTSAS[[#This Row],[Carrière]]="","",IF(ISNA(VLOOKUP(CCTSAS[[#This Row],[Carrière]],DROPDOWN[Dropdown9],1,FALSE))=TRUE,"Carrière: Utiliser la liste déroulante",""))</f>
        <v/>
      </c>
      <c r="B463" s="8"/>
      <c r="C463" s="8"/>
      <c r="D463" s="8"/>
      <c r="E463" s="21"/>
      <c r="F463" s="64"/>
      <c r="G463" s="8"/>
      <c r="H463" s="8"/>
      <c r="I463" s="10"/>
      <c r="J463" s="10"/>
      <c r="K463" s="9"/>
      <c r="L463" s="9"/>
      <c r="M463" s="9"/>
      <c r="N463"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63" s="9"/>
      <c r="P463" s="9"/>
      <c r="Q463" s="8"/>
      <c r="R463" s="38"/>
      <c r="S463" s="38"/>
      <c r="T463" s="38"/>
      <c r="U463" s="38"/>
      <c r="V463" s="38"/>
      <c r="W463" s="38"/>
      <c r="X463" s="38"/>
      <c r="Y463"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63" s="38"/>
      <c r="AA463"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63" s="8"/>
      <c r="AC463" s="203"/>
      <c r="AD463"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63"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63" s="503"/>
      <c r="AG463" s="44"/>
      <c r="AH463" s="189" t="str">
        <f>IF(COUNTA(CCTSAS[[#This Row],[N°]:[heures annuelles
selon contrat(s)]])=0,"",REVEX!$E$9)</f>
        <v/>
      </c>
      <c r="AI463" s="73" t="str">
        <f>IF(CCTSAS[[#This Row],[Allocation fonctions]]="","",IF(ISNA(VLOOKUP(CCTSAS[[#This Row],[Allocation fonctions]],'Variable et Dropdowns'!H458:H474,1,FALSE))=TRUE,"Veuillez utiliser les allocations parmis la liste déroulante.",""))</f>
        <v/>
      </c>
    </row>
    <row r="464" spans="1:35" x14ac:dyDescent="0.25">
      <c r="A464" s="73" t="str">
        <f>IF(CCTSAS[[#This Row],[Carrière]]="","",IF(ISNA(VLOOKUP(CCTSAS[[#This Row],[Carrière]],DROPDOWN[Dropdown9],1,FALSE))=TRUE,"Carrière: Utiliser la liste déroulante",""))</f>
        <v/>
      </c>
      <c r="B464" s="8"/>
      <c r="C464" s="8"/>
      <c r="D464" s="8"/>
      <c r="E464" s="21"/>
      <c r="F464" s="64"/>
      <c r="G464" s="8"/>
      <c r="H464" s="8"/>
      <c r="I464" s="10"/>
      <c r="J464" s="10"/>
      <c r="K464" s="9"/>
      <c r="L464" s="9"/>
      <c r="M464" s="9"/>
      <c r="N464"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64" s="9"/>
      <c r="P464" s="9"/>
      <c r="Q464" s="8"/>
      <c r="R464" s="38"/>
      <c r="S464" s="38"/>
      <c r="T464" s="38"/>
      <c r="U464" s="38"/>
      <c r="V464" s="38"/>
      <c r="W464" s="38"/>
      <c r="X464" s="38"/>
      <c r="Y464"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64" s="38"/>
      <c r="AA464"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64" s="8"/>
      <c r="AC464" s="203"/>
      <c r="AD464"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64"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64" s="503"/>
      <c r="AG464" s="44"/>
      <c r="AH464" s="189" t="str">
        <f>IF(COUNTA(CCTSAS[[#This Row],[N°]:[heures annuelles
selon contrat(s)]])=0,"",REVEX!$E$9)</f>
        <v/>
      </c>
      <c r="AI464" s="73" t="str">
        <f>IF(CCTSAS[[#This Row],[Allocation fonctions]]="","",IF(ISNA(VLOOKUP(CCTSAS[[#This Row],[Allocation fonctions]],'Variable et Dropdowns'!H459:H475,1,FALSE))=TRUE,"Veuillez utiliser les allocations parmis la liste déroulante.",""))</f>
        <v/>
      </c>
    </row>
    <row r="465" spans="1:35" x14ac:dyDescent="0.25">
      <c r="A465" s="73" t="str">
        <f>IF(CCTSAS[[#This Row],[Carrière]]="","",IF(ISNA(VLOOKUP(CCTSAS[[#This Row],[Carrière]],DROPDOWN[Dropdown9],1,FALSE))=TRUE,"Carrière: Utiliser la liste déroulante",""))</f>
        <v/>
      </c>
      <c r="B465" s="8"/>
      <c r="C465" s="8"/>
      <c r="D465" s="8"/>
      <c r="E465" s="21"/>
      <c r="F465" s="64"/>
      <c r="G465" s="8"/>
      <c r="H465" s="8"/>
      <c r="I465" s="10"/>
      <c r="J465" s="10"/>
      <c r="K465" s="9"/>
      <c r="L465" s="9"/>
      <c r="M465" s="9"/>
      <c r="N465"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65" s="9"/>
      <c r="P465" s="9"/>
      <c r="Q465" s="8"/>
      <c r="R465" s="38"/>
      <c r="S465" s="38"/>
      <c r="T465" s="38"/>
      <c r="U465" s="38"/>
      <c r="V465" s="38"/>
      <c r="W465" s="38"/>
      <c r="X465" s="38"/>
      <c r="Y465"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65" s="38"/>
      <c r="AA465"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65" s="8"/>
      <c r="AC465" s="203"/>
      <c r="AD465"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65"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65" s="503"/>
      <c r="AG465" s="44"/>
      <c r="AH465" s="189" t="str">
        <f>IF(COUNTA(CCTSAS[[#This Row],[N°]:[heures annuelles
selon contrat(s)]])=0,"",REVEX!$E$9)</f>
        <v/>
      </c>
      <c r="AI465" s="73" t="str">
        <f>IF(CCTSAS[[#This Row],[Allocation fonctions]]="","",IF(ISNA(VLOOKUP(CCTSAS[[#This Row],[Allocation fonctions]],'Variable et Dropdowns'!H460:H476,1,FALSE))=TRUE,"Veuillez utiliser les allocations parmis la liste déroulante.",""))</f>
        <v/>
      </c>
    </row>
    <row r="466" spans="1:35" x14ac:dyDescent="0.25">
      <c r="A466" s="73" t="str">
        <f>IF(CCTSAS[[#This Row],[Carrière]]="","",IF(ISNA(VLOOKUP(CCTSAS[[#This Row],[Carrière]],DROPDOWN[Dropdown9],1,FALSE))=TRUE,"Carrière: Utiliser la liste déroulante",""))</f>
        <v/>
      </c>
      <c r="B466" s="8"/>
      <c r="C466" s="8"/>
      <c r="D466" s="8"/>
      <c r="E466" s="21"/>
      <c r="F466" s="64"/>
      <c r="G466" s="8"/>
      <c r="H466" s="8"/>
      <c r="I466" s="10"/>
      <c r="J466" s="10"/>
      <c r="K466" s="9"/>
      <c r="L466" s="9"/>
      <c r="M466" s="9"/>
      <c r="N466"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66" s="9"/>
      <c r="P466" s="9"/>
      <c r="Q466" s="8"/>
      <c r="R466" s="38"/>
      <c r="S466" s="38"/>
      <c r="T466" s="38"/>
      <c r="U466" s="38"/>
      <c r="V466" s="38"/>
      <c r="W466" s="38"/>
      <c r="X466" s="38"/>
      <c r="Y466"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66" s="38"/>
      <c r="AA466"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66" s="8"/>
      <c r="AC466" s="203"/>
      <c r="AD466"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66"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66" s="503"/>
      <c r="AG466" s="44"/>
      <c r="AH466" s="189" t="str">
        <f>IF(COUNTA(CCTSAS[[#This Row],[N°]:[heures annuelles
selon contrat(s)]])=0,"",REVEX!$E$9)</f>
        <v/>
      </c>
      <c r="AI466" s="73" t="str">
        <f>IF(CCTSAS[[#This Row],[Allocation fonctions]]="","",IF(ISNA(VLOOKUP(CCTSAS[[#This Row],[Allocation fonctions]],'Variable et Dropdowns'!H461:H477,1,FALSE))=TRUE,"Veuillez utiliser les allocations parmis la liste déroulante.",""))</f>
        <v/>
      </c>
    </row>
    <row r="467" spans="1:35" x14ac:dyDescent="0.25">
      <c r="A467" s="73" t="str">
        <f>IF(CCTSAS[[#This Row],[Carrière]]="","",IF(ISNA(VLOOKUP(CCTSAS[[#This Row],[Carrière]],DROPDOWN[Dropdown9],1,FALSE))=TRUE,"Carrière: Utiliser la liste déroulante",""))</f>
        <v/>
      </c>
      <c r="B467" s="8"/>
      <c r="C467" s="8"/>
      <c r="D467" s="8"/>
      <c r="E467" s="21"/>
      <c r="F467" s="64"/>
      <c r="G467" s="8"/>
      <c r="H467" s="8"/>
      <c r="I467" s="10"/>
      <c r="J467" s="10"/>
      <c r="K467" s="9"/>
      <c r="L467" s="9"/>
      <c r="M467" s="9"/>
      <c r="N467"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67" s="9"/>
      <c r="P467" s="9"/>
      <c r="Q467" s="8"/>
      <c r="R467" s="38"/>
      <c r="S467" s="38"/>
      <c r="T467" s="38"/>
      <c r="U467" s="38"/>
      <c r="V467" s="38"/>
      <c r="W467" s="38"/>
      <c r="X467" s="38"/>
      <c r="Y467"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67" s="38"/>
      <c r="AA467"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67" s="8"/>
      <c r="AC467" s="203"/>
      <c r="AD467"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67"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67" s="503"/>
      <c r="AG467" s="44"/>
      <c r="AH467" s="189" t="str">
        <f>IF(COUNTA(CCTSAS[[#This Row],[N°]:[heures annuelles
selon contrat(s)]])=0,"",REVEX!$E$9)</f>
        <v/>
      </c>
      <c r="AI467" s="73" t="str">
        <f>IF(CCTSAS[[#This Row],[Allocation fonctions]]="","",IF(ISNA(VLOOKUP(CCTSAS[[#This Row],[Allocation fonctions]],'Variable et Dropdowns'!H462:H478,1,FALSE))=TRUE,"Veuillez utiliser les allocations parmis la liste déroulante.",""))</f>
        <v/>
      </c>
    </row>
    <row r="468" spans="1:35" x14ac:dyDescent="0.25">
      <c r="A468" s="73" t="str">
        <f>IF(CCTSAS[[#This Row],[Carrière]]="","",IF(ISNA(VLOOKUP(CCTSAS[[#This Row],[Carrière]],DROPDOWN[Dropdown9],1,FALSE))=TRUE,"Carrière: Utiliser la liste déroulante",""))</f>
        <v/>
      </c>
      <c r="B468" s="8"/>
      <c r="C468" s="8"/>
      <c r="D468" s="8"/>
      <c r="E468" s="21"/>
      <c r="F468" s="64"/>
      <c r="G468" s="8"/>
      <c r="H468" s="8"/>
      <c r="I468" s="10"/>
      <c r="J468" s="10"/>
      <c r="K468" s="9"/>
      <c r="L468" s="9"/>
      <c r="M468" s="9"/>
      <c r="N468"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68" s="9"/>
      <c r="P468" s="9"/>
      <c r="Q468" s="8"/>
      <c r="R468" s="38"/>
      <c r="S468" s="38"/>
      <c r="T468" s="38"/>
      <c r="U468" s="38"/>
      <c r="V468" s="38"/>
      <c r="W468" s="38"/>
      <c r="X468" s="38"/>
      <c r="Y468"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68" s="38"/>
      <c r="AA468"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68" s="8"/>
      <c r="AC468" s="203"/>
      <c r="AD468"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68"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68" s="503"/>
      <c r="AG468" s="44"/>
      <c r="AH468" s="189" t="str">
        <f>IF(COUNTA(CCTSAS[[#This Row],[N°]:[heures annuelles
selon contrat(s)]])=0,"",REVEX!$E$9)</f>
        <v/>
      </c>
      <c r="AI468" s="73" t="str">
        <f>IF(CCTSAS[[#This Row],[Allocation fonctions]]="","",IF(ISNA(VLOOKUP(CCTSAS[[#This Row],[Allocation fonctions]],'Variable et Dropdowns'!H463:H479,1,FALSE))=TRUE,"Veuillez utiliser les allocations parmis la liste déroulante.",""))</f>
        <v/>
      </c>
    </row>
    <row r="469" spans="1:35" x14ac:dyDescent="0.25">
      <c r="A469" s="73" t="str">
        <f>IF(CCTSAS[[#This Row],[Carrière]]="","",IF(ISNA(VLOOKUP(CCTSAS[[#This Row],[Carrière]],DROPDOWN[Dropdown9],1,FALSE))=TRUE,"Carrière: Utiliser la liste déroulante",""))</f>
        <v/>
      </c>
      <c r="B469" s="8"/>
      <c r="C469" s="8"/>
      <c r="D469" s="8"/>
      <c r="E469" s="21"/>
      <c r="F469" s="64"/>
      <c r="G469" s="8"/>
      <c r="H469" s="8"/>
      <c r="I469" s="10"/>
      <c r="J469" s="10"/>
      <c r="K469" s="9"/>
      <c r="L469" s="9"/>
      <c r="M469" s="9"/>
      <c r="N469"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69" s="9"/>
      <c r="P469" s="9"/>
      <c r="Q469" s="8"/>
      <c r="R469" s="38"/>
      <c r="S469" s="38"/>
      <c r="T469" s="38"/>
      <c r="U469" s="38"/>
      <c r="V469" s="38"/>
      <c r="W469" s="38"/>
      <c r="X469" s="38"/>
      <c r="Y469"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69" s="38"/>
      <c r="AA469"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69" s="8"/>
      <c r="AC469" s="203"/>
      <c r="AD469"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69"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69" s="503"/>
      <c r="AG469" s="44"/>
      <c r="AH469" s="189" t="str">
        <f>IF(COUNTA(CCTSAS[[#This Row],[N°]:[heures annuelles
selon contrat(s)]])=0,"",REVEX!$E$9)</f>
        <v/>
      </c>
      <c r="AI469" s="73" t="str">
        <f>IF(CCTSAS[[#This Row],[Allocation fonctions]]="","",IF(ISNA(VLOOKUP(CCTSAS[[#This Row],[Allocation fonctions]],'Variable et Dropdowns'!H464:H480,1,FALSE))=TRUE,"Veuillez utiliser les allocations parmis la liste déroulante.",""))</f>
        <v/>
      </c>
    </row>
    <row r="470" spans="1:35" x14ac:dyDescent="0.25">
      <c r="A470" s="73" t="str">
        <f>IF(CCTSAS[[#This Row],[Carrière]]="","",IF(ISNA(VLOOKUP(CCTSAS[[#This Row],[Carrière]],DROPDOWN[Dropdown9],1,FALSE))=TRUE,"Carrière: Utiliser la liste déroulante",""))</f>
        <v/>
      </c>
      <c r="B470" s="8"/>
      <c r="C470" s="8"/>
      <c r="D470" s="8"/>
      <c r="E470" s="21"/>
      <c r="F470" s="64"/>
      <c r="G470" s="8"/>
      <c r="H470" s="8"/>
      <c r="I470" s="10"/>
      <c r="J470" s="10"/>
      <c r="K470" s="9"/>
      <c r="L470" s="9"/>
      <c r="M470" s="9"/>
      <c r="N470"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70" s="9"/>
      <c r="P470" s="9"/>
      <c r="Q470" s="8"/>
      <c r="R470" s="38"/>
      <c r="S470" s="38"/>
      <c r="T470" s="38"/>
      <c r="U470" s="38"/>
      <c r="V470" s="38"/>
      <c r="W470" s="38"/>
      <c r="X470" s="38"/>
      <c r="Y470"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70" s="38"/>
      <c r="AA470"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70" s="8"/>
      <c r="AC470" s="203"/>
      <c r="AD470"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70"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70" s="503"/>
      <c r="AG470" s="44"/>
      <c r="AH470" s="189" t="str">
        <f>IF(COUNTA(CCTSAS[[#This Row],[N°]:[heures annuelles
selon contrat(s)]])=0,"",REVEX!$E$9)</f>
        <v/>
      </c>
      <c r="AI470" s="73" t="str">
        <f>IF(CCTSAS[[#This Row],[Allocation fonctions]]="","",IF(ISNA(VLOOKUP(CCTSAS[[#This Row],[Allocation fonctions]],'Variable et Dropdowns'!H465:H481,1,FALSE))=TRUE,"Veuillez utiliser les allocations parmis la liste déroulante.",""))</f>
        <v/>
      </c>
    </row>
    <row r="471" spans="1:35" x14ac:dyDescent="0.25">
      <c r="A471" s="73" t="str">
        <f>IF(CCTSAS[[#This Row],[Carrière]]="","",IF(ISNA(VLOOKUP(CCTSAS[[#This Row],[Carrière]],DROPDOWN[Dropdown9],1,FALSE))=TRUE,"Carrière: Utiliser la liste déroulante",""))</f>
        <v/>
      </c>
      <c r="B471" s="8"/>
      <c r="C471" s="8"/>
      <c r="D471" s="8"/>
      <c r="E471" s="21"/>
      <c r="F471" s="64"/>
      <c r="G471" s="8"/>
      <c r="H471" s="8"/>
      <c r="I471" s="10"/>
      <c r="J471" s="10"/>
      <c r="K471" s="9"/>
      <c r="L471" s="9"/>
      <c r="M471" s="9"/>
      <c r="N471"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71" s="9"/>
      <c r="P471" s="9"/>
      <c r="Q471" s="8"/>
      <c r="R471" s="38"/>
      <c r="S471" s="38"/>
      <c r="T471" s="38"/>
      <c r="U471" s="38"/>
      <c r="V471" s="38"/>
      <c r="W471" s="38"/>
      <c r="X471" s="38"/>
      <c r="Y471"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71" s="38"/>
      <c r="AA471"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71" s="8"/>
      <c r="AC471" s="203"/>
      <c r="AD471"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71"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71" s="503"/>
      <c r="AG471" s="44"/>
      <c r="AH471" s="189" t="str">
        <f>IF(COUNTA(CCTSAS[[#This Row],[N°]:[heures annuelles
selon contrat(s)]])=0,"",REVEX!$E$9)</f>
        <v/>
      </c>
      <c r="AI471" s="73" t="str">
        <f>IF(CCTSAS[[#This Row],[Allocation fonctions]]="","",IF(ISNA(VLOOKUP(CCTSAS[[#This Row],[Allocation fonctions]],'Variable et Dropdowns'!H466:H482,1,FALSE))=TRUE,"Veuillez utiliser les allocations parmis la liste déroulante.",""))</f>
        <v/>
      </c>
    </row>
    <row r="472" spans="1:35" x14ac:dyDescent="0.25">
      <c r="A472" s="73" t="str">
        <f>IF(CCTSAS[[#This Row],[Carrière]]="","",IF(ISNA(VLOOKUP(CCTSAS[[#This Row],[Carrière]],DROPDOWN[Dropdown9],1,FALSE))=TRUE,"Carrière: Utiliser la liste déroulante",""))</f>
        <v/>
      </c>
      <c r="B472" s="8"/>
      <c r="C472" s="8"/>
      <c r="D472" s="8"/>
      <c r="E472" s="21"/>
      <c r="F472" s="64"/>
      <c r="G472" s="8"/>
      <c r="H472" s="8"/>
      <c r="I472" s="10"/>
      <c r="J472" s="10"/>
      <c r="K472" s="9"/>
      <c r="L472" s="9"/>
      <c r="M472" s="9"/>
      <c r="N472"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72" s="9"/>
      <c r="P472" s="9"/>
      <c r="Q472" s="8"/>
      <c r="R472" s="38"/>
      <c r="S472" s="38"/>
      <c r="T472" s="38"/>
      <c r="U472" s="38"/>
      <c r="V472" s="38"/>
      <c r="W472" s="38"/>
      <c r="X472" s="38"/>
      <c r="Y472"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72" s="38"/>
      <c r="AA472"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72" s="8"/>
      <c r="AC472" s="203"/>
      <c r="AD472"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72"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72" s="503"/>
      <c r="AG472" s="44"/>
      <c r="AH472" s="189" t="str">
        <f>IF(COUNTA(CCTSAS[[#This Row],[N°]:[heures annuelles
selon contrat(s)]])=0,"",REVEX!$E$9)</f>
        <v/>
      </c>
      <c r="AI472" s="73" t="str">
        <f>IF(CCTSAS[[#This Row],[Allocation fonctions]]="","",IF(ISNA(VLOOKUP(CCTSAS[[#This Row],[Allocation fonctions]],'Variable et Dropdowns'!H467:H483,1,FALSE))=TRUE,"Veuillez utiliser les allocations parmis la liste déroulante.",""))</f>
        <v/>
      </c>
    </row>
    <row r="473" spans="1:35" x14ac:dyDescent="0.25">
      <c r="A473" s="73" t="str">
        <f>IF(CCTSAS[[#This Row],[Carrière]]="","",IF(ISNA(VLOOKUP(CCTSAS[[#This Row],[Carrière]],DROPDOWN[Dropdown9],1,FALSE))=TRUE,"Carrière: Utiliser la liste déroulante",""))</f>
        <v/>
      </c>
      <c r="B473" s="8"/>
      <c r="C473" s="8"/>
      <c r="D473" s="8"/>
      <c r="E473" s="21"/>
      <c r="F473" s="64"/>
      <c r="G473" s="8"/>
      <c r="H473" s="8"/>
      <c r="I473" s="10"/>
      <c r="J473" s="10"/>
      <c r="K473" s="9"/>
      <c r="L473" s="9"/>
      <c r="M473" s="9"/>
      <c r="N473"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73" s="9"/>
      <c r="P473" s="9"/>
      <c r="Q473" s="8"/>
      <c r="R473" s="38"/>
      <c r="S473" s="38"/>
      <c r="T473" s="38"/>
      <c r="U473" s="38"/>
      <c r="V473" s="38"/>
      <c r="W473" s="38"/>
      <c r="X473" s="38"/>
      <c r="Y473"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73" s="38"/>
      <c r="AA473"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73" s="8"/>
      <c r="AC473" s="203"/>
      <c r="AD473"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73"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73" s="503"/>
      <c r="AG473" s="44"/>
      <c r="AH473" s="189" t="str">
        <f>IF(COUNTA(CCTSAS[[#This Row],[N°]:[heures annuelles
selon contrat(s)]])=0,"",REVEX!$E$9)</f>
        <v/>
      </c>
      <c r="AI473" s="73" t="str">
        <f>IF(CCTSAS[[#This Row],[Allocation fonctions]]="","",IF(ISNA(VLOOKUP(CCTSAS[[#This Row],[Allocation fonctions]],'Variable et Dropdowns'!H468:H484,1,FALSE))=TRUE,"Veuillez utiliser les allocations parmis la liste déroulante.",""))</f>
        <v/>
      </c>
    </row>
    <row r="474" spans="1:35" x14ac:dyDescent="0.25">
      <c r="A474" s="73" t="str">
        <f>IF(CCTSAS[[#This Row],[Carrière]]="","",IF(ISNA(VLOOKUP(CCTSAS[[#This Row],[Carrière]],DROPDOWN[Dropdown9],1,FALSE))=TRUE,"Carrière: Utiliser la liste déroulante",""))</f>
        <v/>
      </c>
      <c r="B474" s="8"/>
      <c r="C474" s="8"/>
      <c r="D474" s="8"/>
      <c r="E474" s="21"/>
      <c r="F474" s="64"/>
      <c r="G474" s="8"/>
      <c r="H474" s="8"/>
      <c r="I474" s="10"/>
      <c r="J474" s="10"/>
      <c r="K474" s="9"/>
      <c r="L474" s="9"/>
      <c r="M474" s="9"/>
      <c r="N474"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74" s="9"/>
      <c r="P474" s="9"/>
      <c r="Q474" s="8"/>
      <c r="R474" s="38"/>
      <c r="S474" s="38"/>
      <c r="T474" s="38"/>
      <c r="U474" s="38"/>
      <c r="V474" s="38"/>
      <c r="W474" s="38"/>
      <c r="X474" s="38"/>
      <c r="Y474"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74" s="38"/>
      <c r="AA474"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74" s="8"/>
      <c r="AC474" s="203"/>
      <c r="AD474"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74"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74" s="503"/>
      <c r="AG474" s="44"/>
      <c r="AH474" s="189" t="str">
        <f>IF(COUNTA(CCTSAS[[#This Row],[N°]:[heures annuelles
selon contrat(s)]])=0,"",REVEX!$E$9)</f>
        <v/>
      </c>
      <c r="AI474" s="73" t="str">
        <f>IF(CCTSAS[[#This Row],[Allocation fonctions]]="","",IF(ISNA(VLOOKUP(CCTSAS[[#This Row],[Allocation fonctions]],'Variable et Dropdowns'!H469:H485,1,FALSE))=TRUE,"Veuillez utiliser les allocations parmis la liste déroulante.",""))</f>
        <v/>
      </c>
    </row>
    <row r="475" spans="1:35" x14ac:dyDescent="0.25">
      <c r="A475" s="73" t="str">
        <f>IF(CCTSAS[[#This Row],[Carrière]]="","",IF(ISNA(VLOOKUP(CCTSAS[[#This Row],[Carrière]],DROPDOWN[Dropdown9],1,FALSE))=TRUE,"Carrière: Utiliser la liste déroulante",""))</f>
        <v/>
      </c>
      <c r="B475" s="8"/>
      <c r="C475" s="8"/>
      <c r="D475" s="8"/>
      <c r="E475" s="21"/>
      <c r="F475" s="64"/>
      <c r="G475" s="8"/>
      <c r="H475" s="8"/>
      <c r="I475" s="10"/>
      <c r="J475" s="10"/>
      <c r="K475" s="9"/>
      <c r="L475" s="9"/>
      <c r="M475" s="9"/>
      <c r="N475"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75" s="9"/>
      <c r="P475" s="9"/>
      <c r="Q475" s="8"/>
      <c r="R475" s="38"/>
      <c r="S475" s="38"/>
      <c r="T475" s="38"/>
      <c r="U475" s="38"/>
      <c r="V475" s="38"/>
      <c r="W475" s="38"/>
      <c r="X475" s="38"/>
      <c r="Y475"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75" s="38"/>
      <c r="AA475"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75" s="8"/>
      <c r="AC475" s="203"/>
      <c r="AD475"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75"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75" s="503"/>
      <c r="AG475" s="44"/>
      <c r="AH475" s="189" t="str">
        <f>IF(COUNTA(CCTSAS[[#This Row],[N°]:[heures annuelles
selon contrat(s)]])=0,"",REVEX!$E$9)</f>
        <v/>
      </c>
      <c r="AI475" s="73" t="str">
        <f>IF(CCTSAS[[#This Row],[Allocation fonctions]]="","",IF(ISNA(VLOOKUP(CCTSAS[[#This Row],[Allocation fonctions]],'Variable et Dropdowns'!H470:H486,1,FALSE))=TRUE,"Veuillez utiliser les allocations parmis la liste déroulante.",""))</f>
        <v/>
      </c>
    </row>
    <row r="476" spans="1:35" x14ac:dyDescent="0.25">
      <c r="A476" s="73" t="str">
        <f>IF(CCTSAS[[#This Row],[Carrière]]="","",IF(ISNA(VLOOKUP(CCTSAS[[#This Row],[Carrière]],DROPDOWN[Dropdown9],1,FALSE))=TRUE,"Carrière: Utiliser la liste déroulante",""))</f>
        <v/>
      </c>
      <c r="B476" s="8"/>
      <c r="C476" s="8"/>
      <c r="D476" s="8"/>
      <c r="E476" s="21"/>
      <c r="F476" s="64"/>
      <c r="G476" s="8"/>
      <c r="H476" s="8"/>
      <c r="I476" s="10"/>
      <c r="J476" s="10"/>
      <c r="K476" s="9"/>
      <c r="L476" s="9"/>
      <c r="M476" s="9"/>
      <c r="N476"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76" s="9"/>
      <c r="P476" s="9"/>
      <c r="Q476" s="8"/>
      <c r="R476" s="38"/>
      <c r="S476" s="38"/>
      <c r="T476" s="38"/>
      <c r="U476" s="38"/>
      <c r="V476" s="38"/>
      <c r="W476" s="38"/>
      <c r="X476" s="38"/>
      <c r="Y476"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76" s="38"/>
      <c r="AA476"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76" s="8"/>
      <c r="AC476" s="203"/>
      <c r="AD476"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76"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76" s="503"/>
      <c r="AG476" s="44"/>
      <c r="AH476" s="189" t="str">
        <f>IF(COUNTA(CCTSAS[[#This Row],[N°]:[heures annuelles
selon contrat(s)]])=0,"",REVEX!$E$9)</f>
        <v/>
      </c>
      <c r="AI476" s="73" t="str">
        <f>IF(CCTSAS[[#This Row],[Allocation fonctions]]="","",IF(ISNA(VLOOKUP(CCTSAS[[#This Row],[Allocation fonctions]],'Variable et Dropdowns'!H471:H487,1,FALSE))=TRUE,"Veuillez utiliser les allocations parmis la liste déroulante.",""))</f>
        <v/>
      </c>
    </row>
    <row r="477" spans="1:35" x14ac:dyDescent="0.25">
      <c r="A477" s="73" t="str">
        <f>IF(CCTSAS[[#This Row],[Carrière]]="","",IF(ISNA(VLOOKUP(CCTSAS[[#This Row],[Carrière]],DROPDOWN[Dropdown9],1,FALSE))=TRUE,"Carrière: Utiliser la liste déroulante",""))</f>
        <v/>
      </c>
      <c r="B477" s="8"/>
      <c r="C477" s="8"/>
      <c r="D477" s="8"/>
      <c r="E477" s="21"/>
      <c r="F477" s="64"/>
      <c r="G477" s="8"/>
      <c r="H477" s="8"/>
      <c r="I477" s="10"/>
      <c r="J477" s="10"/>
      <c r="K477" s="9"/>
      <c r="L477" s="9"/>
      <c r="M477" s="9"/>
      <c r="N477"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77" s="9"/>
      <c r="P477" s="9"/>
      <c r="Q477" s="8"/>
      <c r="R477" s="38"/>
      <c r="S477" s="38"/>
      <c r="T477" s="38"/>
      <c r="U477" s="38"/>
      <c r="V477" s="38"/>
      <c r="W477" s="38"/>
      <c r="X477" s="38"/>
      <c r="Y477"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77" s="38"/>
      <c r="AA477"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77" s="8"/>
      <c r="AC477" s="203"/>
      <c r="AD477"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77"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77" s="503"/>
      <c r="AG477" s="44"/>
      <c r="AH477" s="189" t="str">
        <f>IF(COUNTA(CCTSAS[[#This Row],[N°]:[heures annuelles
selon contrat(s)]])=0,"",REVEX!$E$9)</f>
        <v/>
      </c>
      <c r="AI477" s="73" t="str">
        <f>IF(CCTSAS[[#This Row],[Allocation fonctions]]="","",IF(ISNA(VLOOKUP(CCTSAS[[#This Row],[Allocation fonctions]],'Variable et Dropdowns'!H472:H488,1,FALSE))=TRUE,"Veuillez utiliser les allocations parmis la liste déroulante.",""))</f>
        <v/>
      </c>
    </row>
    <row r="478" spans="1:35" x14ac:dyDescent="0.25">
      <c r="A478" s="73" t="str">
        <f>IF(CCTSAS[[#This Row],[Carrière]]="","",IF(ISNA(VLOOKUP(CCTSAS[[#This Row],[Carrière]],DROPDOWN[Dropdown9],1,FALSE))=TRUE,"Carrière: Utiliser la liste déroulante",""))</f>
        <v/>
      </c>
      <c r="B478" s="8"/>
      <c r="C478" s="8"/>
      <c r="D478" s="8"/>
      <c r="E478" s="21"/>
      <c r="F478" s="64"/>
      <c r="G478" s="8"/>
      <c r="H478" s="8"/>
      <c r="I478" s="10"/>
      <c r="J478" s="10"/>
      <c r="K478" s="9"/>
      <c r="L478" s="9"/>
      <c r="M478" s="9"/>
      <c r="N478"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78" s="9"/>
      <c r="P478" s="9"/>
      <c r="Q478" s="8"/>
      <c r="R478" s="38"/>
      <c r="S478" s="38"/>
      <c r="T478" s="38"/>
      <c r="U478" s="38"/>
      <c r="V478" s="38"/>
      <c r="W478" s="38"/>
      <c r="X478" s="38"/>
      <c r="Y478"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78" s="38"/>
      <c r="AA478"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78" s="8"/>
      <c r="AC478" s="203"/>
      <c r="AD478"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78"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78" s="503"/>
      <c r="AG478" s="44"/>
      <c r="AH478" s="189" t="str">
        <f>IF(COUNTA(CCTSAS[[#This Row],[N°]:[heures annuelles
selon contrat(s)]])=0,"",REVEX!$E$9)</f>
        <v/>
      </c>
      <c r="AI478" s="73" t="str">
        <f>IF(CCTSAS[[#This Row],[Allocation fonctions]]="","",IF(ISNA(VLOOKUP(CCTSAS[[#This Row],[Allocation fonctions]],'Variable et Dropdowns'!H473:H489,1,FALSE))=TRUE,"Veuillez utiliser les allocations parmis la liste déroulante.",""))</f>
        <v/>
      </c>
    </row>
    <row r="479" spans="1:35" x14ac:dyDescent="0.25">
      <c r="A479" s="73" t="str">
        <f>IF(CCTSAS[[#This Row],[Carrière]]="","",IF(ISNA(VLOOKUP(CCTSAS[[#This Row],[Carrière]],DROPDOWN[Dropdown9],1,FALSE))=TRUE,"Carrière: Utiliser la liste déroulante",""))</f>
        <v/>
      </c>
      <c r="B479" s="8"/>
      <c r="C479" s="8"/>
      <c r="D479" s="8"/>
      <c r="E479" s="21"/>
      <c r="F479" s="64"/>
      <c r="G479" s="8"/>
      <c r="H479" s="8"/>
      <c r="I479" s="10"/>
      <c r="J479" s="10"/>
      <c r="K479" s="9"/>
      <c r="L479" s="9"/>
      <c r="M479" s="9"/>
      <c r="N479"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79" s="9"/>
      <c r="P479" s="9"/>
      <c r="Q479" s="8"/>
      <c r="R479" s="38"/>
      <c r="S479" s="38"/>
      <c r="T479" s="38"/>
      <c r="U479" s="38"/>
      <c r="V479" s="38"/>
      <c r="W479" s="38"/>
      <c r="X479" s="38"/>
      <c r="Y479"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79" s="38"/>
      <c r="AA479"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79" s="8"/>
      <c r="AC479" s="203"/>
      <c r="AD479"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79"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79" s="503"/>
      <c r="AG479" s="44"/>
      <c r="AH479" s="189" t="str">
        <f>IF(COUNTA(CCTSAS[[#This Row],[N°]:[heures annuelles
selon contrat(s)]])=0,"",REVEX!$E$9)</f>
        <v/>
      </c>
      <c r="AI479" s="73" t="str">
        <f>IF(CCTSAS[[#This Row],[Allocation fonctions]]="","",IF(ISNA(VLOOKUP(CCTSAS[[#This Row],[Allocation fonctions]],'Variable et Dropdowns'!H474:H490,1,FALSE))=TRUE,"Veuillez utiliser les allocations parmis la liste déroulante.",""))</f>
        <v/>
      </c>
    </row>
    <row r="480" spans="1:35" x14ac:dyDescent="0.25">
      <c r="A480" s="73" t="str">
        <f>IF(CCTSAS[[#This Row],[Carrière]]="","",IF(ISNA(VLOOKUP(CCTSAS[[#This Row],[Carrière]],DROPDOWN[Dropdown9],1,FALSE))=TRUE,"Carrière: Utiliser la liste déroulante",""))</f>
        <v/>
      </c>
      <c r="B480" s="8"/>
      <c r="C480" s="8"/>
      <c r="D480" s="8"/>
      <c r="E480" s="21"/>
      <c r="F480" s="64"/>
      <c r="G480" s="8"/>
      <c r="H480" s="8"/>
      <c r="I480" s="10"/>
      <c r="J480" s="10"/>
      <c r="K480" s="9"/>
      <c r="L480" s="9"/>
      <c r="M480" s="9"/>
      <c r="N480"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80" s="9"/>
      <c r="P480" s="9"/>
      <c r="Q480" s="8"/>
      <c r="R480" s="38"/>
      <c r="S480" s="38"/>
      <c r="T480" s="38"/>
      <c r="U480" s="38"/>
      <c r="V480" s="38"/>
      <c r="W480" s="38"/>
      <c r="X480" s="38"/>
      <c r="Y480"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80" s="38"/>
      <c r="AA480"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80" s="8"/>
      <c r="AC480" s="203"/>
      <c r="AD480"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80"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80" s="503"/>
      <c r="AG480" s="44"/>
      <c r="AH480" s="189" t="str">
        <f>IF(COUNTA(CCTSAS[[#This Row],[N°]:[heures annuelles
selon contrat(s)]])=0,"",REVEX!$E$9)</f>
        <v/>
      </c>
      <c r="AI480" s="73" t="str">
        <f>IF(CCTSAS[[#This Row],[Allocation fonctions]]="","",IF(ISNA(VLOOKUP(CCTSAS[[#This Row],[Allocation fonctions]],'Variable et Dropdowns'!H475:H491,1,FALSE))=TRUE,"Veuillez utiliser les allocations parmis la liste déroulante.",""))</f>
        <v/>
      </c>
    </row>
    <row r="481" spans="1:35" x14ac:dyDescent="0.25">
      <c r="A481" s="73" t="str">
        <f>IF(CCTSAS[[#This Row],[Carrière]]="","",IF(ISNA(VLOOKUP(CCTSAS[[#This Row],[Carrière]],DROPDOWN[Dropdown9],1,FALSE))=TRUE,"Carrière: Utiliser la liste déroulante",""))</f>
        <v/>
      </c>
      <c r="B481" s="8"/>
      <c r="C481" s="8"/>
      <c r="D481" s="8"/>
      <c r="E481" s="21"/>
      <c r="F481" s="64"/>
      <c r="G481" s="8"/>
      <c r="H481" s="8"/>
      <c r="I481" s="10"/>
      <c r="J481" s="10"/>
      <c r="K481" s="9"/>
      <c r="L481" s="9"/>
      <c r="M481" s="9"/>
      <c r="N481"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81" s="9"/>
      <c r="P481" s="9"/>
      <c r="Q481" s="8"/>
      <c r="R481" s="38"/>
      <c r="S481" s="38"/>
      <c r="T481" s="38"/>
      <c r="U481" s="38"/>
      <c r="V481" s="38"/>
      <c r="W481" s="38"/>
      <c r="X481" s="38"/>
      <c r="Y481"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81" s="38"/>
      <c r="AA481"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81" s="8"/>
      <c r="AC481" s="203"/>
      <c r="AD481"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81"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81" s="503"/>
      <c r="AG481" s="44"/>
      <c r="AH481" s="189" t="str">
        <f>IF(COUNTA(CCTSAS[[#This Row],[N°]:[heures annuelles
selon contrat(s)]])=0,"",REVEX!$E$9)</f>
        <v/>
      </c>
      <c r="AI481" s="73" t="str">
        <f>IF(CCTSAS[[#This Row],[Allocation fonctions]]="","",IF(ISNA(VLOOKUP(CCTSAS[[#This Row],[Allocation fonctions]],'Variable et Dropdowns'!H476:H492,1,FALSE))=TRUE,"Veuillez utiliser les allocations parmis la liste déroulante.",""))</f>
        <v/>
      </c>
    </row>
    <row r="482" spans="1:35" x14ac:dyDescent="0.25">
      <c r="A482" s="73" t="str">
        <f>IF(CCTSAS[[#This Row],[Carrière]]="","",IF(ISNA(VLOOKUP(CCTSAS[[#This Row],[Carrière]],DROPDOWN[Dropdown9],1,FALSE))=TRUE,"Carrière: Utiliser la liste déroulante",""))</f>
        <v/>
      </c>
      <c r="B482" s="8"/>
      <c r="C482" s="8"/>
      <c r="D482" s="8"/>
      <c r="E482" s="21"/>
      <c r="F482" s="64"/>
      <c r="G482" s="8"/>
      <c r="H482" s="8"/>
      <c r="I482" s="10"/>
      <c r="J482" s="10"/>
      <c r="K482" s="9"/>
      <c r="L482" s="9"/>
      <c r="M482" s="9"/>
      <c r="N482"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82" s="9"/>
      <c r="P482" s="9"/>
      <c r="Q482" s="8"/>
      <c r="R482" s="38"/>
      <c r="S482" s="38"/>
      <c r="T482" s="38"/>
      <c r="U482" s="38"/>
      <c r="V482" s="38"/>
      <c r="W482" s="38"/>
      <c r="X482" s="38"/>
      <c r="Y482"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82" s="38"/>
      <c r="AA482"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82" s="8"/>
      <c r="AC482" s="203"/>
      <c r="AD482"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82"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82" s="503"/>
      <c r="AG482" s="44"/>
      <c r="AH482" s="189" t="str">
        <f>IF(COUNTA(CCTSAS[[#This Row],[N°]:[heures annuelles
selon contrat(s)]])=0,"",REVEX!$E$9)</f>
        <v/>
      </c>
      <c r="AI482" s="73" t="str">
        <f>IF(CCTSAS[[#This Row],[Allocation fonctions]]="","",IF(ISNA(VLOOKUP(CCTSAS[[#This Row],[Allocation fonctions]],'Variable et Dropdowns'!H477:H493,1,FALSE))=TRUE,"Veuillez utiliser les allocations parmis la liste déroulante.",""))</f>
        <v/>
      </c>
    </row>
    <row r="483" spans="1:35" x14ac:dyDescent="0.25">
      <c r="A483" s="73" t="str">
        <f>IF(CCTSAS[[#This Row],[Carrière]]="","",IF(ISNA(VLOOKUP(CCTSAS[[#This Row],[Carrière]],DROPDOWN[Dropdown9],1,FALSE))=TRUE,"Carrière: Utiliser la liste déroulante",""))</f>
        <v/>
      </c>
      <c r="B483" s="8"/>
      <c r="C483" s="8"/>
      <c r="D483" s="8"/>
      <c r="E483" s="21"/>
      <c r="F483" s="64"/>
      <c r="G483" s="8"/>
      <c r="H483" s="8"/>
      <c r="I483" s="10"/>
      <c r="J483" s="10"/>
      <c r="K483" s="9"/>
      <c r="L483" s="9"/>
      <c r="M483" s="9"/>
      <c r="N483"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83" s="9"/>
      <c r="P483" s="9"/>
      <c r="Q483" s="8"/>
      <c r="R483" s="38"/>
      <c r="S483" s="38"/>
      <c r="T483" s="38"/>
      <c r="U483" s="38"/>
      <c r="V483" s="38"/>
      <c r="W483" s="38"/>
      <c r="X483" s="38"/>
      <c r="Y483"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83" s="38"/>
      <c r="AA483"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83" s="8"/>
      <c r="AC483" s="203"/>
      <c r="AD483"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83"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83" s="503"/>
      <c r="AG483" s="44"/>
      <c r="AH483" s="189" t="str">
        <f>IF(COUNTA(CCTSAS[[#This Row],[N°]:[heures annuelles
selon contrat(s)]])=0,"",REVEX!$E$9)</f>
        <v/>
      </c>
      <c r="AI483" s="73" t="str">
        <f>IF(CCTSAS[[#This Row],[Allocation fonctions]]="","",IF(ISNA(VLOOKUP(CCTSAS[[#This Row],[Allocation fonctions]],'Variable et Dropdowns'!H478:H494,1,FALSE))=TRUE,"Veuillez utiliser les allocations parmis la liste déroulante.",""))</f>
        <v/>
      </c>
    </row>
    <row r="484" spans="1:35" x14ac:dyDescent="0.25">
      <c r="A484" s="73" t="str">
        <f>IF(CCTSAS[[#This Row],[Carrière]]="","",IF(ISNA(VLOOKUP(CCTSAS[[#This Row],[Carrière]],DROPDOWN[Dropdown9],1,FALSE))=TRUE,"Carrière: Utiliser la liste déroulante",""))</f>
        <v/>
      </c>
      <c r="B484" s="8"/>
      <c r="C484" s="8"/>
      <c r="D484" s="8"/>
      <c r="E484" s="21"/>
      <c r="F484" s="64"/>
      <c r="G484" s="8"/>
      <c r="H484" s="8"/>
      <c r="I484" s="10"/>
      <c r="J484" s="10"/>
      <c r="K484" s="9"/>
      <c r="L484" s="9"/>
      <c r="M484" s="9"/>
      <c r="N484"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84" s="9"/>
      <c r="P484" s="9"/>
      <c r="Q484" s="8"/>
      <c r="R484" s="38"/>
      <c r="S484" s="38"/>
      <c r="T484" s="38"/>
      <c r="U484" s="38"/>
      <c r="V484" s="38"/>
      <c r="W484" s="38"/>
      <c r="X484" s="38"/>
      <c r="Y484"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84" s="38"/>
      <c r="AA484"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84" s="8"/>
      <c r="AC484" s="203"/>
      <c r="AD484"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84"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84" s="503"/>
      <c r="AG484" s="44"/>
      <c r="AH484" s="189" t="str">
        <f>IF(COUNTA(CCTSAS[[#This Row],[N°]:[heures annuelles
selon contrat(s)]])=0,"",REVEX!$E$9)</f>
        <v/>
      </c>
      <c r="AI484" s="73" t="str">
        <f>IF(CCTSAS[[#This Row],[Allocation fonctions]]="","",IF(ISNA(VLOOKUP(CCTSAS[[#This Row],[Allocation fonctions]],'Variable et Dropdowns'!H479:H495,1,FALSE))=TRUE,"Veuillez utiliser les allocations parmis la liste déroulante.",""))</f>
        <v/>
      </c>
    </row>
    <row r="485" spans="1:35" x14ac:dyDescent="0.25">
      <c r="A485" s="73" t="str">
        <f>IF(CCTSAS[[#This Row],[Carrière]]="","",IF(ISNA(VLOOKUP(CCTSAS[[#This Row],[Carrière]],DROPDOWN[Dropdown9],1,FALSE))=TRUE,"Carrière: Utiliser la liste déroulante",""))</f>
        <v/>
      </c>
      <c r="B485" s="8"/>
      <c r="C485" s="8"/>
      <c r="D485" s="8"/>
      <c r="E485" s="21"/>
      <c r="F485" s="64"/>
      <c r="G485" s="8"/>
      <c r="H485" s="8"/>
      <c r="I485" s="10"/>
      <c r="J485" s="10"/>
      <c r="K485" s="9"/>
      <c r="L485" s="9"/>
      <c r="M485" s="9"/>
      <c r="N485"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85" s="9"/>
      <c r="P485" s="9"/>
      <c r="Q485" s="8"/>
      <c r="R485" s="38"/>
      <c r="S485" s="38"/>
      <c r="T485" s="38"/>
      <c r="U485" s="38"/>
      <c r="V485" s="38"/>
      <c r="W485" s="38"/>
      <c r="X485" s="38"/>
      <c r="Y485"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85" s="38"/>
      <c r="AA485"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85" s="8"/>
      <c r="AC485" s="203"/>
      <c r="AD485"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85"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85" s="503"/>
      <c r="AG485" s="44"/>
      <c r="AH485" s="189" t="str">
        <f>IF(COUNTA(CCTSAS[[#This Row],[N°]:[heures annuelles
selon contrat(s)]])=0,"",REVEX!$E$9)</f>
        <v/>
      </c>
      <c r="AI485" s="73" t="str">
        <f>IF(CCTSAS[[#This Row],[Allocation fonctions]]="","",IF(ISNA(VLOOKUP(CCTSAS[[#This Row],[Allocation fonctions]],'Variable et Dropdowns'!H480:H496,1,FALSE))=TRUE,"Veuillez utiliser les allocations parmis la liste déroulante.",""))</f>
        <v/>
      </c>
    </row>
    <row r="486" spans="1:35" x14ac:dyDescent="0.25">
      <c r="A486" s="73" t="str">
        <f>IF(CCTSAS[[#This Row],[Carrière]]="","",IF(ISNA(VLOOKUP(CCTSAS[[#This Row],[Carrière]],DROPDOWN[Dropdown9],1,FALSE))=TRUE,"Carrière: Utiliser la liste déroulante",""))</f>
        <v/>
      </c>
      <c r="B486" s="8"/>
      <c r="C486" s="8"/>
      <c r="D486" s="8"/>
      <c r="E486" s="21"/>
      <c r="F486" s="64"/>
      <c r="G486" s="8"/>
      <c r="H486" s="8"/>
      <c r="I486" s="10"/>
      <c r="J486" s="10"/>
      <c r="K486" s="9"/>
      <c r="L486" s="9"/>
      <c r="M486" s="9"/>
      <c r="N486"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86" s="9"/>
      <c r="P486" s="9"/>
      <c r="Q486" s="8"/>
      <c r="R486" s="38"/>
      <c r="S486" s="38"/>
      <c r="T486" s="38"/>
      <c r="U486" s="38"/>
      <c r="V486" s="38"/>
      <c r="W486" s="38"/>
      <c r="X486" s="38"/>
      <c r="Y486"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86" s="38"/>
      <c r="AA486"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86" s="8"/>
      <c r="AC486" s="203"/>
      <c r="AD486"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86"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86" s="503"/>
      <c r="AG486" s="44"/>
      <c r="AH486" s="189" t="str">
        <f>IF(COUNTA(CCTSAS[[#This Row],[N°]:[heures annuelles
selon contrat(s)]])=0,"",REVEX!$E$9)</f>
        <v/>
      </c>
      <c r="AI486" s="73" t="str">
        <f>IF(CCTSAS[[#This Row],[Allocation fonctions]]="","",IF(ISNA(VLOOKUP(CCTSAS[[#This Row],[Allocation fonctions]],'Variable et Dropdowns'!H481:H497,1,FALSE))=TRUE,"Veuillez utiliser les allocations parmis la liste déroulante.",""))</f>
        <v/>
      </c>
    </row>
    <row r="487" spans="1:35" x14ac:dyDescent="0.25">
      <c r="A487" s="73" t="str">
        <f>IF(CCTSAS[[#This Row],[Carrière]]="","",IF(ISNA(VLOOKUP(CCTSAS[[#This Row],[Carrière]],DROPDOWN[Dropdown9],1,FALSE))=TRUE,"Carrière: Utiliser la liste déroulante",""))</f>
        <v/>
      </c>
      <c r="B487" s="8"/>
      <c r="C487" s="8"/>
      <c r="D487" s="8"/>
      <c r="E487" s="21"/>
      <c r="F487" s="64"/>
      <c r="G487" s="8"/>
      <c r="H487" s="8"/>
      <c r="I487" s="10"/>
      <c r="J487" s="10"/>
      <c r="K487" s="9"/>
      <c r="L487" s="9"/>
      <c r="M487" s="9"/>
      <c r="N487"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87" s="9"/>
      <c r="P487" s="9"/>
      <c r="Q487" s="8"/>
      <c r="R487" s="38"/>
      <c r="S487" s="38"/>
      <c r="T487" s="38"/>
      <c r="U487" s="38"/>
      <c r="V487" s="38"/>
      <c r="W487" s="38"/>
      <c r="X487" s="38"/>
      <c r="Y487"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87" s="38"/>
      <c r="AA487"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87" s="8"/>
      <c r="AC487" s="203"/>
      <c r="AD487"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87"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87" s="503"/>
      <c r="AG487" s="44"/>
      <c r="AH487" s="189" t="str">
        <f>IF(COUNTA(CCTSAS[[#This Row],[N°]:[heures annuelles
selon contrat(s)]])=0,"",REVEX!$E$9)</f>
        <v/>
      </c>
      <c r="AI487" s="73" t="str">
        <f>IF(CCTSAS[[#This Row],[Allocation fonctions]]="","",IF(ISNA(VLOOKUP(CCTSAS[[#This Row],[Allocation fonctions]],'Variable et Dropdowns'!H482:H498,1,FALSE))=TRUE,"Veuillez utiliser les allocations parmis la liste déroulante.",""))</f>
        <v/>
      </c>
    </row>
    <row r="488" spans="1:35" x14ac:dyDescent="0.25">
      <c r="A488" s="73" t="str">
        <f>IF(CCTSAS[[#This Row],[Carrière]]="","",IF(ISNA(VLOOKUP(CCTSAS[[#This Row],[Carrière]],DROPDOWN[Dropdown9],1,FALSE))=TRUE,"Carrière: Utiliser la liste déroulante",""))</f>
        <v/>
      </c>
      <c r="B488" s="8"/>
      <c r="C488" s="8"/>
      <c r="D488" s="8"/>
      <c r="E488" s="21"/>
      <c r="F488" s="64"/>
      <c r="G488" s="8"/>
      <c r="H488" s="8"/>
      <c r="I488" s="10"/>
      <c r="J488" s="10"/>
      <c r="K488" s="9"/>
      <c r="L488" s="9"/>
      <c r="M488" s="9"/>
      <c r="N488"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88" s="9"/>
      <c r="P488" s="9"/>
      <c r="Q488" s="8"/>
      <c r="R488" s="38"/>
      <c r="S488" s="38"/>
      <c r="T488" s="38"/>
      <c r="U488" s="38"/>
      <c r="V488" s="38"/>
      <c r="W488" s="38"/>
      <c r="X488" s="38"/>
      <c r="Y488"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88" s="38"/>
      <c r="AA488"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88" s="8"/>
      <c r="AC488" s="203"/>
      <c r="AD488"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88"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88" s="503"/>
      <c r="AG488" s="44"/>
      <c r="AH488" s="189" t="str">
        <f>IF(COUNTA(CCTSAS[[#This Row],[N°]:[heures annuelles
selon contrat(s)]])=0,"",REVEX!$E$9)</f>
        <v/>
      </c>
      <c r="AI488" s="73" t="str">
        <f>IF(CCTSAS[[#This Row],[Allocation fonctions]]="","",IF(ISNA(VLOOKUP(CCTSAS[[#This Row],[Allocation fonctions]],'Variable et Dropdowns'!H483:H499,1,FALSE))=TRUE,"Veuillez utiliser les allocations parmis la liste déroulante.",""))</f>
        <v/>
      </c>
    </row>
    <row r="489" spans="1:35" x14ac:dyDescent="0.25">
      <c r="A489" s="73" t="str">
        <f>IF(CCTSAS[[#This Row],[Carrière]]="","",IF(ISNA(VLOOKUP(CCTSAS[[#This Row],[Carrière]],DROPDOWN[Dropdown9],1,FALSE))=TRUE,"Carrière: Utiliser la liste déroulante",""))</f>
        <v/>
      </c>
      <c r="B489" s="8"/>
      <c r="C489" s="8"/>
      <c r="D489" s="8"/>
      <c r="E489" s="21"/>
      <c r="F489" s="64"/>
      <c r="G489" s="8"/>
      <c r="H489" s="8"/>
      <c r="I489" s="10"/>
      <c r="J489" s="10"/>
      <c r="K489" s="9"/>
      <c r="L489" s="9"/>
      <c r="M489" s="9"/>
      <c r="N489"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89" s="9"/>
      <c r="P489" s="9"/>
      <c r="Q489" s="8"/>
      <c r="R489" s="38"/>
      <c r="S489" s="38"/>
      <c r="T489" s="38"/>
      <c r="U489" s="38"/>
      <c r="V489" s="38"/>
      <c r="W489" s="38"/>
      <c r="X489" s="38"/>
      <c r="Y489"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89" s="38"/>
      <c r="AA489"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89" s="8"/>
      <c r="AC489" s="203"/>
      <c r="AD489"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89"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89" s="503"/>
      <c r="AG489" s="44"/>
      <c r="AH489" s="189" t="str">
        <f>IF(COUNTA(CCTSAS[[#This Row],[N°]:[heures annuelles
selon contrat(s)]])=0,"",REVEX!$E$9)</f>
        <v/>
      </c>
      <c r="AI489" s="73" t="str">
        <f>IF(CCTSAS[[#This Row],[Allocation fonctions]]="","",IF(ISNA(VLOOKUP(CCTSAS[[#This Row],[Allocation fonctions]],'Variable et Dropdowns'!H484:H500,1,FALSE))=TRUE,"Veuillez utiliser les allocations parmis la liste déroulante.",""))</f>
        <v/>
      </c>
    </row>
    <row r="490" spans="1:35" x14ac:dyDescent="0.25">
      <c r="A490" s="73" t="str">
        <f>IF(CCTSAS[[#This Row],[Carrière]]="","",IF(ISNA(VLOOKUP(CCTSAS[[#This Row],[Carrière]],DROPDOWN[Dropdown9],1,FALSE))=TRUE,"Carrière: Utiliser la liste déroulante",""))</f>
        <v/>
      </c>
      <c r="B490" s="8"/>
      <c r="C490" s="8"/>
      <c r="D490" s="8"/>
      <c r="E490" s="21"/>
      <c r="F490" s="64"/>
      <c r="G490" s="8"/>
      <c r="H490" s="8"/>
      <c r="I490" s="10"/>
      <c r="J490" s="10"/>
      <c r="K490" s="9"/>
      <c r="L490" s="9"/>
      <c r="M490" s="9"/>
      <c r="N490"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90" s="9"/>
      <c r="P490" s="9"/>
      <c r="Q490" s="8"/>
      <c r="R490" s="38"/>
      <c r="S490" s="38"/>
      <c r="T490" s="38"/>
      <c r="U490" s="38"/>
      <c r="V490" s="38"/>
      <c r="W490" s="38"/>
      <c r="X490" s="38"/>
      <c r="Y490"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90" s="38"/>
      <c r="AA490"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90" s="8"/>
      <c r="AC490" s="203"/>
      <c r="AD490"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90"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90" s="503"/>
      <c r="AG490" s="44"/>
      <c r="AH490" s="189" t="str">
        <f>IF(COUNTA(CCTSAS[[#This Row],[N°]:[heures annuelles
selon contrat(s)]])=0,"",REVEX!$E$9)</f>
        <v/>
      </c>
      <c r="AI490" s="73" t="str">
        <f>IF(CCTSAS[[#This Row],[Allocation fonctions]]="","",IF(ISNA(VLOOKUP(CCTSAS[[#This Row],[Allocation fonctions]],'Variable et Dropdowns'!H485:H501,1,FALSE))=TRUE,"Veuillez utiliser les allocations parmis la liste déroulante.",""))</f>
        <v/>
      </c>
    </row>
    <row r="491" spans="1:35" x14ac:dyDescent="0.25">
      <c r="A491" s="73" t="str">
        <f>IF(CCTSAS[[#This Row],[Carrière]]="","",IF(ISNA(VLOOKUP(CCTSAS[[#This Row],[Carrière]],DROPDOWN[Dropdown9],1,FALSE))=TRUE,"Carrière: Utiliser la liste déroulante",""))</f>
        <v/>
      </c>
      <c r="B491" s="8"/>
      <c r="C491" s="8"/>
      <c r="D491" s="8"/>
      <c r="E491" s="21"/>
      <c r="F491" s="64"/>
      <c r="G491" s="8"/>
      <c r="H491" s="8"/>
      <c r="I491" s="10"/>
      <c r="J491" s="10"/>
      <c r="K491" s="9"/>
      <c r="L491" s="9"/>
      <c r="M491" s="9"/>
      <c r="N491"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91" s="9"/>
      <c r="P491" s="9"/>
      <c r="Q491" s="8"/>
      <c r="R491" s="38"/>
      <c r="S491" s="38"/>
      <c r="T491" s="38"/>
      <c r="U491" s="38"/>
      <c r="V491" s="38"/>
      <c r="W491" s="38"/>
      <c r="X491" s="38"/>
      <c r="Y491"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91" s="38"/>
      <c r="AA491"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91" s="8"/>
      <c r="AC491" s="203"/>
      <c r="AD491"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91"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91" s="503"/>
      <c r="AG491" s="44"/>
      <c r="AH491" s="189" t="str">
        <f>IF(COUNTA(CCTSAS[[#This Row],[N°]:[heures annuelles
selon contrat(s)]])=0,"",REVEX!$E$9)</f>
        <v/>
      </c>
      <c r="AI491" s="73" t="str">
        <f>IF(CCTSAS[[#This Row],[Allocation fonctions]]="","",IF(ISNA(VLOOKUP(CCTSAS[[#This Row],[Allocation fonctions]],'Variable et Dropdowns'!H486:H502,1,FALSE))=TRUE,"Veuillez utiliser les allocations parmis la liste déroulante.",""))</f>
        <v/>
      </c>
    </row>
    <row r="492" spans="1:35" x14ac:dyDescent="0.25">
      <c r="A492" s="73" t="str">
        <f>IF(CCTSAS[[#This Row],[Carrière]]="","",IF(ISNA(VLOOKUP(CCTSAS[[#This Row],[Carrière]],DROPDOWN[Dropdown9],1,FALSE))=TRUE,"Carrière: Utiliser la liste déroulante",""))</f>
        <v/>
      </c>
      <c r="B492" s="8"/>
      <c r="C492" s="8"/>
      <c r="D492" s="8"/>
      <c r="E492" s="21"/>
      <c r="F492" s="64"/>
      <c r="G492" s="8"/>
      <c r="H492" s="8"/>
      <c r="I492" s="10"/>
      <c r="J492" s="10"/>
      <c r="K492" s="9"/>
      <c r="L492" s="9"/>
      <c r="M492" s="9"/>
      <c r="N492"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92" s="9"/>
      <c r="P492" s="9"/>
      <c r="Q492" s="8"/>
      <c r="R492" s="38"/>
      <c r="S492" s="38"/>
      <c r="T492" s="38"/>
      <c r="U492" s="38"/>
      <c r="V492" s="38"/>
      <c r="W492" s="38"/>
      <c r="X492" s="38"/>
      <c r="Y492"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92" s="38"/>
      <c r="AA492"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92" s="8"/>
      <c r="AC492" s="203"/>
      <c r="AD492"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92"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92" s="503"/>
      <c r="AG492" s="44"/>
      <c r="AH492" s="189" t="str">
        <f>IF(COUNTA(CCTSAS[[#This Row],[N°]:[heures annuelles
selon contrat(s)]])=0,"",REVEX!$E$9)</f>
        <v/>
      </c>
      <c r="AI492" s="73" t="str">
        <f>IF(CCTSAS[[#This Row],[Allocation fonctions]]="","",IF(ISNA(VLOOKUP(CCTSAS[[#This Row],[Allocation fonctions]],'Variable et Dropdowns'!H487:H503,1,FALSE))=TRUE,"Veuillez utiliser les allocations parmis la liste déroulante.",""))</f>
        <v/>
      </c>
    </row>
    <row r="493" spans="1:35" x14ac:dyDescent="0.25">
      <c r="A493" s="73" t="str">
        <f>IF(CCTSAS[[#This Row],[Carrière]]="","",IF(ISNA(VLOOKUP(CCTSAS[[#This Row],[Carrière]],DROPDOWN[Dropdown9],1,FALSE))=TRUE,"Carrière: Utiliser la liste déroulante",""))</f>
        <v/>
      </c>
      <c r="B493" s="8"/>
      <c r="C493" s="8"/>
      <c r="D493" s="8"/>
      <c r="E493" s="21"/>
      <c r="F493" s="64"/>
      <c r="G493" s="8"/>
      <c r="H493" s="8"/>
      <c r="I493" s="10"/>
      <c r="J493" s="10"/>
      <c r="K493" s="9"/>
      <c r="L493" s="9"/>
      <c r="M493" s="9"/>
      <c r="N493"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93" s="9"/>
      <c r="P493" s="9"/>
      <c r="Q493" s="8"/>
      <c r="R493" s="38"/>
      <c r="S493" s="38"/>
      <c r="T493" s="38"/>
      <c r="U493" s="38"/>
      <c r="V493" s="38"/>
      <c r="W493" s="38"/>
      <c r="X493" s="38"/>
      <c r="Y493"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93" s="38"/>
      <c r="AA493"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93" s="8"/>
      <c r="AC493" s="203"/>
      <c r="AD493"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93"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93" s="503"/>
      <c r="AG493" s="44"/>
      <c r="AH493" s="189" t="str">
        <f>IF(COUNTA(CCTSAS[[#This Row],[N°]:[heures annuelles
selon contrat(s)]])=0,"",REVEX!$E$9)</f>
        <v/>
      </c>
      <c r="AI493" s="73" t="str">
        <f>IF(CCTSAS[[#This Row],[Allocation fonctions]]="","",IF(ISNA(VLOOKUP(CCTSAS[[#This Row],[Allocation fonctions]],'Variable et Dropdowns'!H488:H504,1,FALSE))=TRUE,"Veuillez utiliser les allocations parmis la liste déroulante.",""))</f>
        <v/>
      </c>
    </row>
    <row r="494" spans="1:35" x14ac:dyDescent="0.25">
      <c r="A494" s="73" t="str">
        <f>IF(CCTSAS[[#This Row],[Carrière]]="","",IF(ISNA(VLOOKUP(CCTSAS[[#This Row],[Carrière]],DROPDOWN[Dropdown9],1,FALSE))=TRUE,"Carrière: Utiliser la liste déroulante",""))</f>
        <v/>
      </c>
      <c r="B494" s="8"/>
      <c r="C494" s="8"/>
      <c r="D494" s="8"/>
      <c r="E494" s="21"/>
      <c r="F494" s="64"/>
      <c r="G494" s="8"/>
      <c r="H494" s="8"/>
      <c r="I494" s="10"/>
      <c r="J494" s="10"/>
      <c r="K494" s="9"/>
      <c r="L494" s="9"/>
      <c r="M494" s="9"/>
      <c r="N494"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94" s="9"/>
      <c r="P494" s="9"/>
      <c r="Q494" s="8"/>
      <c r="R494" s="38"/>
      <c r="S494" s="38"/>
      <c r="T494" s="38"/>
      <c r="U494" s="38"/>
      <c r="V494" s="38"/>
      <c r="W494" s="38"/>
      <c r="X494" s="38"/>
      <c r="Y494"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94" s="38"/>
      <c r="AA494"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94" s="8"/>
      <c r="AC494" s="203"/>
      <c r="AD494"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94"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94" s="503"/>
      <c r="AG494" s="44"/>
      <c r="AH494" s="189" t="str">
        <f>IF(COUNTA(CCTSAS[[#This Row],[N°]:[heures annuelles
selon contrat(s)]])=0,"",REVEX!$E$9)</f>
        <v/>
      </c>
      <c r="AI494" s="73" t="str">
        <f>IF(CCTSAS[[#This Row],[Allocation fonctions]]="","",IF(ISNA(VLOOKUP(CCTSAS[[#This Row],[Allocation fonctions]],'Variable et Dropdowns'!H489:H505,1,FALSE))=TRUE,"Veuillez utiliser les allocations parmis la liste déroulante.",""))</f>
        <v/>
      </c>
    </row>
    <row r="495" spans="1:35" x14ac:dyDescent="0.25">
      <c r="A495" s="73" t="str">
        <f>IF(CCTSAS[[#This Row],[Carrière]]="","",IF(ISNA(VLOOKUP(CCTSAS[[#This Row],[Carrière]],DROPDOWN[Dropdown9],1,FALSE))=TRUE,"Carrière: Utiliser la liste déroulante",""))</f>
        <v/>
      </c>
      <c r="B495" s="8"/>
      <c r="C495" s="8"/>
      <c r="D495" s="8"/>
      <c r="E495" s="21"/>
      <c r="F495" s="64"/>
      <c r="G495" s="8"/>
      <c r="H495" s="8"/>
      <c r="I495" s="10"/>
      <c r="J495" s="10"/>
      <c r="K495" s="9"/>
      <c r="L495" s="9"/>
      <c r="M495" s="9"/>
      <c r="N495"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95" s="9"/>
      <c r="P495" s="9"/>
      <c r="Q495" s="8"/>
      <c r="R495" s="38"/>
      <c r="S495" s="38"/>
      <c r="T495" s="38"/>
      <c r="U495" s="38"/>
      <c r="V495" s="38"/>
      <c r="W495" s="38"/>
      <c r="X495" s="38"/>
      <c r="Y495"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95" s="38"/>
      <c r="AA495"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95" s="8"/>
      <c r="AC495" s="203"/>
      <c r="AD495"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95"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95" s="503"/>
      <c r="AG495" s="44"/>
      <c r="AH495" s="189" t="str">
        <f>IF(COUNTA(CCTSAS[[#This Row],[N°]:[heures annuelles
selon contrat(s)]])=0,"",REVEX!$E$9)</f>
        <v/>
      </c>
      <c r="AI495" s="73" t="str">
        <f>IF(CCTSAS[[#This Row],[Allocation fonctions]]="","",IF(ISNA(VLOOKUP(CCTSAS[[#This Row],[Allocation fonctions]],'Variable et Dropdowns'!H490:H506,1,FALSE))=TRUE,"Veuillez utiliser les allocations parmis la liste déroulante.",""))</f>
        <v/>
      </c>
    </row>
    <row r="496" spans="1:35" x14ac:dyDescent="0.25">
      <c r="A496" s="73" t="str">
        <f>IF(CCTSAS[[#This Row],[Carrière]]="","",IF(ISNA(VLOOKUP(CCTSAS[[#This Row],[Carrière]],DROPDOWN[Dropdown9],1,FALSE))=TRUE,"Carrière: Utiliser la liste déroulante",""))</f>
        <v/>
      </c>
      <c r="B496" s="8"/>
      <c r="C496" s="8"/>
      <c r="D496" s="8"/>
      <c r="E496" s="21"/>
      <c r="F496" s="64"/>
      <c r="G496" s="8"/>
      <c r="H496" s="8"/>
      <c r="I496" s="10"/>
      <c r="J496" s="10"/>
      <c r="K496" s="9"/>
      <c r="L496" s="9"/>
      <c r="M496" s="9"/>
      <c r="N496"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96" s="9"/>
      <c r="P496" s="9"/>
      <c r="Q496" s="8"/>
      <c r="R496" s="38"/>
      <c r="S496" s="38"/>
      <c r="T496" s="38"/>
      <c r="U496" s="38"/>
      <c r="V496" s="38"/>
      <c r="W496" s="38"/>
      <c r="X496" s="38"/>
      <c r="Y496"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96" s="38"/>
      <c r="AA496"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96" s="8"/>
      <c r="AC496" s="203"/>
      <c r="AD496"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96"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96" s="503"/>
      <c r="AG496" s="44"/>
      <c r="AH496" s="189" t="str">
        <f>IF(COUNTA(CCTSAS[[#This Row],[N°]:[heures annuelles
selon contrat(s)]])=0,"",REVEX!$E$9)</f>
        <v/>
      </c>
      <c r="AI496" s="73" t="str">
        <f>IF(CCTSAS[[#This Row],[Allocation fonctions]]="","",IF(ISNA(VLOOKUP(CCTSAS[[#This Row],[Allocation fonctions]],'Variable et Dropdowns'!H491:H507,1,FALSE))=TRUE,"Veuillez utiliser les allocations parmis la liste déroulante.",""))</f>
        <v/>
      </c>
    </row>
    <row r="497" spans="1:35" x14ac:dyDescent="0.25">
      <c r="A497" s="73" t="str">
        <f>IF(CCTSAS[[#This Row],[Carrière]]="","",IF(ISNA(VLOOKUP(CCTSAS[[#This Row],[Carrière]],DROPDOWN[Dropdown9],1,FALSE))=TRUE,"Carrière: Utiliser la liste déroulante",""))</f>
        <v/>
      </c>
      <c r="B497" s="8"/>
      <c r="C497" s="8"/>
      <c r="D497" s="8"/>
      <c r="E497" s="21"/>
      <c r="F497" s="64"/>
      <c r="G497" s="8"/>
      <c r="H497" s="8"/>
      <c r="I497" s="10"/>
      <c r="J497" s="10"/>
      <c r="K497" s="9"/>
      <c r="L497" s="9"/>
      <c r="M497" s="9"/>
      <c r="N497"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97" s="9"/>
      <c r="P497" s="9"/>
      <c r="Q497" s="8"/>
      <c r="R497" s="38"/>
      <c r="S497" s="38"/>
      <c r="T497" s="38"/>
      <c r="U497" s="38"/>
      <c r="V497" s="38"/>
      <c r="W497" s="38"/>
      <c r="X497" s="38"/>
      <c r="Y497"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97" s="38"/>
      <c r="AA497"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97" s="8"/>
      <c r="AC497" s="203"/>
      <c r="AD497"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97"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97" s="503"/>
      <c r="AG497" s="44"/>
      <c r="AH497" s="189" t="str">
        <f>IF(COUNTA(CCTSAS[[#This Row],[N°]:[heures annuelles
selon contrat(s)]])=0,"",REVEX!$E$9)</f>
        <v/>
      </c>
      <c r="AI497" s="73" t="str">
        <f>IF(CCTSAS[[#This Row],[Allocation fonctions]]="","",IF(ISNA(VLOOKUP(CCTSAS[[#This Row],[Allocation fonctions]],'Variable et Dropdowns'!H492:H508,1,FALSE))=TRUE,"Veuillez utiliser les allocations parmis la liste déroulante.",""))</f>
        <v/>
      </c>
    </row>
    <row r="498" spans="1:35" x14ac:dyDescent="0.25">
      <c r="A498" s="73" t="str">
        <f>IF(CCTSAS[[#This Row],[Carrière]]="","",IF(ISNA(VLOOKUP(CCTSAS[[#This Row],[Carrière]],DROPDOWN[Dropdown9],1,FALSE))=TRUE,"Carrière: Utiliser la liste déroulante",""))</f>
        <v/>
      </c>
      <c r="B498" s="8"/>
      <c r="C498" s="8"/>
      <c r="D498" s="8"/>
      <c r="E498" s="21"/>
      <c r="F498" s="64"/>
      <c r="G498" s="8"/>
      <c r="H498" s="8"/>
      <c r="I498" s="10"/>
      <c r="J498" s="10"/>
      <c r="K498" s="9"/>
      <c r="L498" s="9"/>
      <c r="M498" s="9"/>
      <c r="N498"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98" s="9"/>
      <c r="P498" s="9"/>
      <c r="Q498" s="8"/>
      <c r="R498" s="38"/>
      <c r="S498" s="38"/>
      <c r="T498" s="38"/>
      <c r="U498" s="38"/>
      <c r="V498" s="38"/>
      <c r="W498" s="38"/>
      <c r="X498" s="38"/>
      <c r="Y498"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98" s="38"/>
      <c r="AA498"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98" s="8"/>
      <c r="AC498" s="203"/>
      <c r="AD498"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98"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98" s="503"/>
      <c r="AG498" s="44"/>
      <c r="AH498" s="189" t="str">
        <f>IF(COUNTA(CCTSAS[[#This Row],[N°]:[heures annuelles
selon contrat(s)]])=0,"",REVEX!$E$9)</f>
        <v/>
      </c>
      <c r="AI498" s="73" t="str">
        <f>IF(CCTSAS[[#This Row],[Allocation fonctions]]="","",IF(ISNA(VLOOKUP(CCTSAS[[#This Row],[Allocation fonctions]],'Variable et Dropdowns'!H493:H509,1,FALSE))=TRUE,"Veuillez utiliser les allocations parmis la liste déroulante.",""))</f>
        <v/>
      </c>
    </row>
    <row r="499" spans="1:35" x14ac:dyDescent="0.25">
      <c r="A499" s="73" t="str">
        <f>IF(CCTSAS[[#This Row],[Carrière]]="","",IF(ISNA(VLOOKUP(CCTSAS[[#This Row],[Carrière]],DROPDOWN[Dropdown9],1,FALSE))=TRUE,"Carrière: Utiliser la liste déroulante",""))</f>
        <v/>
      </c>
      <c r="B499" s="8"/>
      <c r="C499" s="8"/>
      <c r="D499" s="8"/>
      <c r="E499" s="21"/>
      <c r="F499" s="64"/>
      <c r="G499" s="8"/>
      <c r="H499" s="8"/>
      <c r="I499" s="10"/>
      <c r="J499" s="10"/>
      <c r="K499" s="9"/>
      <c r="L499" s="9"/>
      <c r="M499" s="9"/>
      <c r="N499"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499" s="9"/>
      <c r="P499" s="9"/>
      <c r="Q499" s="8"/>
      <c r="R499" s="38"/>
      <c r="S499" s="38"/>
      <c r="T499" s="38"/>
      <c r="U499" s="38"/>
      <c r="V499" s="38"/>
      <c r="W499" s="38"/>
      <c r="X499" s="38"/>
      <c r="Y499"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499" s="38"/>
      <c r="AA499"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499" s="8"/>
      <c r="AC499" s="203"/>
      <c r="AD499"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499"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499" s="503"/>
      <c r="AG499" s="44"/>
      <c r="AH499" s="189" t="str">
        <f>IF(COUNTA(CCTSAS[[#This Row],[N°]:[heures annuelles
selon contrat(s)]])=0,"",REVEX!$E$9)</f>
        <v/>
      </c>
      <c r="AI499" s="73" t="str">
        <f>IF(CCTSAS[[#This Row],[Allocation fonctions]]="","",IF(ISNA(VLOOKUP(CCTSAS[[#This Row],[Allocation fonctions]],'Variable et Dropdowns'!H494:H510,1,FALSE))=TRUE,"Veuillez utiliser les allocations parmis la liste déroulante.",""))</f>
        <v/>
      </c>
    </row>
    <row r="500" spans="1:35" x14ac:dyDescent="0.25">
      <c r="A500" s="73" t="str">
        <f>IF(CCTSAS[[#This Row],[Carrière]]="","",IF(ISNA(VLOOKUP(CCTSAS[[#This Row],[Carrière]],DROPDOWN[Dropdown9],1,FALSE))=TRUE,"Carrière: Utiliser la liste déroulante",""))</f>
        <v/>
      </c>
      <c r="B500" s="8"/>
      <c r="C500" s="8"/>
      <c r="D500" s="8"/>
      <c r="E500" s="21"/>
      <c r="F500" s="64"/>
      <c r="G500" s="8"/>
      <c r="H500" s="8"/>
      <c r="I500" s="10"/>
      <c r="J500" s="10"/>
      <c r="K500" s="9"/>
      <c r="L500" s="9"/>
      <c r="M500" s="9"/>
      <c r="N500"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500" s="9"/>
      <c r="P500" s="9"/>
      <c r="Q500" s="8"/>
      <c r="R500" s="38"/>
      <c r="S500" s="38"/>
      <c r="T500" s="38"/>
      <c r="U500" s="38"/>
      <c r="V500" s="38"/>
      <c r="W500" s="38"/>
      <c r="X500" s="38"/>
      <c r="Y500"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500" s="38"/>
      <c r="AA500"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500" s="8"/>
      <c r="AC500" s="203"/>
      <c r="AD500"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500"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500" s="503"/>
      <c r="AG500" s="44"/>
      <c r="AH500" s="189" t="str">
        <f>IF(COUNTA(CCTSAS[[#This Row],[N°]:[heures annuelles
selon contrat(s)]])=0,"",REVEX!$E$9)</f>
        <v/>
      </c>
      <c r="AI500" s="73" t="str">
        <f>IF(CCTSAS[[#This Row],[Allocation fonctions]]="","",IF(ISNA(VLOOKUP(CCTSAS[[#This Row],[Allocation fonctions]],'Variable et Dropdowns'!H495:H511,1,FALSE))=TRUE,"Veuillez utiliser les allocations parmis la liste déroulante.",""))</f>
        <v/>
      </c>
    </row>
    <row r="501" spans="1:35" x14ac:dyDescent="0.25">
      <c r="A501" s="73" t="str">
        <f>IF(CCTSAS[[#This Row],[Carrière]]="","",IF(ISNA(VLOOKUP(CCTSAS[[#This Row],[Carrière]],DROPDOWN[Dropdown9],1,FALSE))=TRUE,"Carrière: Utiliser la liste déroulante",""))</f>
        <v/>
      </c>
      <c r="B501" s="8"/>
      <c r="C501" s="8"/>
      <c r="D501" s="8"/>
      <c r="E501" s="21"/>
      <c r="F501" s="64"/>
      <c r="G501" s="8"/>
      <c r="H501" s="8"/>
      <c r="I501" s="10"/>
      <c r="J501" s="10"/>
      <c r="K501" s="9"/>
      <c r="L501" s="9"/>
      <c r="M501" s="9"/>
      <c r="N501"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501" s="9"/>
      <c r="P501" s="9"/>
      <c r="Q501" s="8"/>
      <c r="R501" s="38"/>
      <c r="S501" s="38"/>
      <c r="T501" s="38"/>
      <c r="U501" s="38"/>
      <c r="V501" s="38"/>
      <c r="W501" s="38"/>
      <c r="X501" s="38"/>
      <c r="Y501"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501" s="38"/>
      <c r="AA501"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501" s="8"/>
      <c r="AC501" s="203"/>
      <c r="AD501"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501"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501" s="503"/>
      <c r="AG501" s="44"/>
      <c r="AH501" s="189" t="str">
        <f>IF(COUNTA(CCTSAS[[#This Row],[N°]:[heures annuelles
selon contrat(s)]])=0,"",REVEX!$E$9)</f>
        <v/>
      </c>
      <c r="AI501" s="73" t="str">
        <f>IF(CCTSAS[[#This Row],[Allocation fonctions]]="","",IF(ISNA(VLOOKUP(CCTSAS[[#This Row],[Allocation fonctions]],'Variable et Dropdowns'!H496:H512,1,FALSE))=TRUE,"Veuillez utiliser les allocations parmis la liste déroulante.",""))</f>
        <v/>
      </c>
    </row>
    <row r="502" spans="1:35" x14ac:dyDescent="0.25">
      <c r="A502" s="73" t="str">
        <f>IF(CCTSAS[[#This Row],[Carrière]]="","",IF(ISNA(VLOOKUP(CCTSAS[[#This Row],[Carrière]],DROPDOWN[Dropdown9],1,FALSE))=TRUE,"Carrière: Utiliser la liste déroulante",""))</f>
        <v/>
      </c>
      <c r="B502" s="8"/>
      <c r="C502" s="8"/>
      <c r="D502" s="8"/>
      <c r="E502" s="21"/>
      <c r="F502" s="64"/>
      <c r="G502" s="8"/>
      <c r="H502" s="8"/>
      <c r="I502" s="10"/>
      <c r="J502" s="10"/>
      <c r="K502" s="9"/>
      <c r="L502" s="9"/>
      <c r="M502" s="9"/>
      <c r="N502"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502" s="9"/>
      <c r="P502" s="9"/>
      <c r="Q502" s="8"/>
      <c r="R502" s="38"/>
      <c r="S502" s="38"/>
      <c r="T502" s="38"/>
      <c r="U502" s="38"/>
      <c r="V502" s="38"/>
      <c r="W502" s="38"/>
      <c r="X502" s="38"/>
      <c r="Y502"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502" s="38"/>
      <c r="AA502"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502" s="8"/>
      <c r="AC502" s="203"/>
      <c r="AD502"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502"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502" s="503"/>
      <c r="AG502" s="44"/>
      <c r="AH502" s="189" t="str">
        <f>IF(COUNTA(CCTSAS[[#This Row],[N°]:[heures annuelles
selon contrat(s)]])=0,"",REVEX!$E$9)</f>
        <v/>
      </c>
      <c r="AI502" s="73" t="str">
        <f>IF(CCTSAS[[#This Row],[Allocation fonctions]]="","",IF(ISNA(VLOOKUP(CCTSAS[[#This Row],[Allocation fonctions]],'Variable et Dropdowns'!H497:H513,1,FALSE))=TRUE,"Veuillez utiliser les allocations parmis la liste déroulante.",""))</f>
        <v/>
      </c>
    </row>
    <row r="503" spans="1:35" x14ac:dyDescent="0.25">
      <c r="A503" s="73" t="str">
        <f>IF(CCTSAS[[#This Row],[Carrière]]="","",IF(ISNA(VLOOKUP(CCTSAS[[#This Row],[Carrière]],DROPDOWN[Dropdown9],1,FALSE))=TRUE,"Carrière: Utiliser la liste déroulante",""))</f>
        <v/>
      </c>
      <c r="B503" s="8"/>
      <c r="C503" s="8"/>
      <c r="D503" s="8"/>
      <c r="E503" s="21"/>
      <c r="F503" s="64"/>
      <c r="G503" s="8"/>
      <c r="H503" s="8"/>
      <c r="I503" s="10"/>
      <c r="J503" s="10"/>
      <c r="K503" s="9"/>
      <c r="L503" s="9"/>
      <c r="M503" s="9"/>
      <c r="N503"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503" s="9"/>
      <c r="P503" s="9"/>
      <c r="Q503" s="8"/>
      <c r="R503" s="38"/>
      <c r="S503" s="38"/>
      <c r="T503" s="38"/>
      <c r="U503" s="38"/>
      <c r="V503" s="38"/>
      <c r="W503" s="38"/>
      <c r="X503" s="38"/>
      <c r="Y503"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503" s="38"/>
      <c r="AA503"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503" s="8"/>
      <c r="AC503" s="203"/>
      <c r="AD503"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503"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503" s="503"/>
      <c r="AG503" s="44"/>
      <c r="AH503" s="189" t="str">
        <f>IF(COUNTA(CCTSAS[[#This Row],[N°]:[heures annuelles
selon contrat(s)]])=0,"",REVEX!$E$9)</f>
        <v/>
      </c>
      <c r="AI503" s="73" t="str">
        <f>IF(CCTSAS[[#This Row],[Allocation fonctions]]="","",IF(ISNA(VLOOKUP(CCTSAS[[#This Row],[Allocation fonctions]],'Variable et Dropdowns'!H498:H514,1,FALSE))=TRUE,"Veuillez utiliser les allocations parmis la liste déroulante.",""))</f>
        <v/>
      </c>
    </row>
    <row r="504" spans="1:35" x14ac:dyDescent="0.25">
      <c r="A504" s="73" t="str">
        <f>IF(CCTSAS[[#This Row],[Carrière]]="","",IF(ISNA(VLOOKUP(CCTSAS[[#This Row],[Carrière]],DROPDOWN[Dropdown9],1,FALSE))=TRUE,"Carrière: Utiliser la liste déroulante",""))</f>
        <v/>
      </c>
      <c r="B504" s="8"/>
      <c r="C504" s="8"/>
      <c r="D504" s="8"/>
      <c r="E504" s="21"/>
      <c r="F504" s="64"/>
      <c r="G504" s="8"/>
      <c r="H504" s="8"/>
      <c r="I504" s="10"/>
      <c r="J504" s="10"/>
      <c r="K504" s="9"/>
      <c r="L504" s="9"/>
      <c r="M504" s="9"/>
      <c r="N504"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504" s="9"/>
      <c r="P504" s="9"/>
      <c r="Q504" s="8"/>
      <c r="R504" s="38"/>
      <c r="S504" s="38"/>
      <c r="T504" s="38"/>
      <c r="U504" s="38"/>
      <c r="V504" s="38"/>
      <c r="W504" s="38"/>
      <c r="X504" s="38"/>
      <c r="Y504"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504" s="38"/>
      <c r="AA504"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504" s="8"/>
      <c r="AC504" s="203"/>
      <c r="AD504"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504"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504" s="503"/>
      <c r="AG504" s="44"/>
      <c r="AH504" s="189" t="str">
        <f>IF(COUNTA(CCTSAS[[#This Row],[N°]:[heures annuelles
selon contrat(s)]])=0,"",REVEX!$E$9)</f>
        <v/>
      </c>
      <c r="AI504" s="73" t="str">
        <f>IF(CCTSAS[[#This Row],[Allocation fonctions]]="","",IF(ISNA(VLOOKUP(CCTSAS[[#This Row],[Allocation fonctions]],'Variable et Dropdowns'!H499:H515,1,FALSE))=TRUE,"Veuillez utiliser les allocations parmis la liste déroulante.",""))</f>
        <v/>
      </c>
    </row>
    <row r="505" spans="1:35" x14ac:dyDescent="0.25">
      <c r="A505" s="73" t="str">
        <f>IF(CCTSAS[[#This Row],[Carrière]]="","",IF(ISNA(VLOOKUP(CCTSAS[[#This Row],[Carrière]],DROPDOWN[Dropdown9],1,FALSE))=TRUE,"Carrière: Utiliser la liste déroulante",""))</f>
        <v/>
      </c>
      <c r="B505" s="8"/>
      <c r="C505" s="8"/>
      <c r="D505" s="8"/>
      <c r="E505" s="21"/>
      <c r="F505" s="64"/>
      <c r="G505" s="8"/>
      <c r="H505" s="8"/>
      <c r="I505" s="10"/>
      <c r="J505" s="10"/>
      <c r="K505" s="9"/>
      <c r="L505" s="9"/>
      <c r="M505" s="9"/>
      <c r="N505"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505" s="9"/>
      <c r="P505" s="9"/>
      <c r="Q505" s="8"/>
      <c r="R505" s="38"/>
      <c r="S505" s="38"/>
      <c r="T505" s="38"/>
      <c r="U505" s="38"/>
      <c r="V505" s="38"/>
      <c r="W505" s="38"/>
      <c r="X505" s="38"/>
      <c r="Y505"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505" s="38"/>
      <c r="AA505"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505" s="8"/>
      <c r="AC505" s="203"/>
      <c r="AD505"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505"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505" s="503"/>
      <c r="AG505" s="44"/>
      <c r="AH505" s="189" t="str">
        <f>IF(COUNTA(CCTSAS[[#This Row],[N°]:[heures annuelles
selon contrat(s)]])=0,"",REVEX!$E$9)</f>
        <v/>
      </c>
      <c r="AI505" s="73" t="str">
        <f>IF(CCTSAS[[#This Row],[Allocation fonctions]]="","",IF(ISNA(VLOOKUP(CCTSAS[[#This Row],[Allocation fonctions]],'Variable et Dropdowns'!H500:H516,1,FALSE))=TRUE,"Veuillez utiliser les allocations parmis la liste déroulante.",""))</f>
        <v/>
      </c>
    </row>
    <row r="506" spans="1:35" x14ac:dyDescent="0.25">
      <c r="A506" s="73" t="str">
        <f>IF(CCTSAS[[#This Row],[Carrière]]="","",IF(ISNA(VLOOKUP(CCTSAS[[#This Row],[Carrière]],DROPDOWN[Dropdown9],1,FALSE))=TRUE,"Carrière: Utiliser la liste déroulante",""))</f>
        <v/>
      </c>
      <c r="B506" s="8"/>
      <c r="C506" s="8"/>
      <c r="D506" s="8"/>
      <c r="E506" s="21"/>
      <c r="F506" s="64"/>
      <c r="G506" s="8"/>
      <c r="H506" s="8"/>
      <c r="I506" s="10"/>
      <c r="J506" s="10"/>
      <c r="K506" s="9"/>
      <c r="L506" s="9"/>
      <c r="M506" s="9"/>
      <c r="N506"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506" s="9"/>
      <c r="P506" s="9"/>
      <c r="Q506" s="8"/>
      <c r="R506" s="38"/>
      <c r="S506" s="38"/>
      <c r="T506" s="38"/>
      <c r="U506" s="38"/>
      <c r="V506" s="38"/>
      <c r="W506" s="38"/>
      <c r="X506" s="38"/>
      <c r="Y506"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506" s="38"/>
      <c r="AA506"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506" s="8"/>
      <c r="AC506" s="203"/>
      <c r="AD506"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506"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506" s="503"/>
      <c r="AG506" s="44"/>
      <c r="AH506" s="189" t="str">
        <f>IF(COUNTA(CCTSAS[[#This Row],[N°]:[heures annuelles
selon contrat(s)]])=0,"",REVEX!$E$9)</f>
        <v/>
      </c>
      <c r="AI506" s="73" t="str">
        <f>IF(CCTSAS[[#This Row],[Allocation fonctions]]="","",IF(ISNA(VLOOKUP(CCTSAS[[#This Row],[Allocation fonctions]],'Variable et Dropdowns'!H501:H517,1,FALSE))=TRUE,"Veuillez utiliser les allocations parmis la liste déroulante.",""))</f>
        <v/>
      </c>
    </row>
    <row r="507" spans="1:35" x14ac:dyDescent="0.25">
      <c r="A507" s="73" t="str">
        <f>IF(CCTSAS[[#This Row],[Carrière]]="","",IF(ISNA(VLOOKUP(CCTSAS[[#This Row],[Carrière]],DROPDOWN[Dropdown9],1,FALSE))=TRUE,"Carrière: Utiliser la liste déroulante",""))</f>
        <v/>
      </c>
      <c r="B507" s="8"/>
      <c r="C507" s="8"/>
      <c r="D507" s="8"/>
      <c r="E507" s="21"/>
      <c r="F507" s="64"/>
      <c r="G507" s="8"/>
      <c r="H507" s="8"/>
      <c r="I507" s="10"/>
      <c r="J507" s="10"/>
      <c r="K507" s="9"/>
      <c r="L507" s="9"/>
      <c r="M507" s="9"/>
      <c r="N507"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507" s="9"/>
      <c r="P507" s="9"/>
      <c r="Q507" s="8"/>
      <c r="R507" s="38"/>
      <c r="S507" s="38"/>
      <c r="T507" s="38"/>
      <c r="U507" s="38"/>
      <c r="V507" s="38"/>
      <c r="W507" s="38"/>
      <c r="X507" s="38"/>
      <c r="Y507"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507" s="38"/>
      <c r="AA507"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507" s="8"/>
      <c r="AC507" s="203"/>
      <c r="AD507"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507"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507" s="503"/>
      <c r="AG507" s="44"/>
      <c r="AH507" s="189" t="str">
        <f>IF(COUNTA(CCTSAS[[#This Row],[N°]:[heures annuelles
selon contrat(s)]])=0,"",REVEX!$E$9)</f>
        <v/>
      </c>
      <c r="AI507" s="73" t="str">
        <f>IF(CCTSAS[[#This Row],[Allocation fonctions]]="","",IF(ISNA(VLOOKUP(CCTSAS[[#This Row],[Allocation fonctions]],'Variable et Dropdowns'!H502:H518,1,FALSE))=TRUE,"Veuillez utiliser les allocations parmis la liste déroulante.",""))</f>
        <v/>
      </c>
    </row>
    <row r="508" spans="1:35" x14ac:dyDescent="0.25">
      <c r="A508" s="73" t="str">
        <f>IF(CCTSAS[[#This Row],[Carrière]]="","",IF(ISNA(VLOOKUP(CCTSAS[[#This Row],[Carrière]],DROPDOWN[Dropdown9],1,FALSE))=TRUE,"Carrière: Utiliser la liste déroulante",""))</f>
        <v/>
      </c>
      <c r="B508" s="8"/>
      <c r="C508" s="8"/>
      <c r="D508" s="8"/>
      <c r="E508" s="21"/>
      <c r="F508" s="64"/>
      <c r="G508" s="8"/>
      <c r="H508" s="8"/>
      <c r="I508" s="10"/>
      <c r="J508" s="10"/>
      <c r="K508" s="9"/>
      <c r="L508" s="9"/>
      <c r="M508" s="9"/>
      <c r="N508"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508" s="9"/>
      <c r="P508" s="9"/>
      <c r="Q508" s="8"/>
      <c r="R508" s="38"/>
      <c r="S508" s="38"/>
      <c r="T508" s="38"/>
      <c r="U508" s="38"/>
      <c r="V508" s="38"/>
      <c r="W508" s="38"/>
      <c r="X508" s="38"/>
      <c r="Y508"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508" s="38"/>
      <c r="AA508"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508" s="8"/>
      <c r="AC508" s="203"/>
      <c r="AD508"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508"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508" s="503"/>
      <c r="AG508" s="44"/>
      <c r="AH508" s="189" t="str">
        <f>IF(COUNTA(CCTSAS[[#This Row],[N°]:[heures annuelles
selon contrat(s)]])=0,"",REVEX!$E$9)</f>
        <v/>
      </c>
      <c r="AI508" s="73" t="str">
        <f>IF(CCTSAS[[#This Row],[Allocation fonctions]]="","",IF(ISNA(VLOOKUP(CCTSAS[[#This Row],[Allocation fonctions]],'Variable et Dropdowns'!H503:H519,1,FALSE))=TRUE,"Veuillez utiliser les allocations parmis la liste déroulante.",""))</f>
        <v/>
      </c>
    </row>
    <row r="509" spans="1:35" x14ac:dyDescent="0.25">
      <c r="A509" s="73" t="str">
        <f>IF(CCTSAS[[#This Row],[Carrière]]="","",IF(ISNA(VLOOKUP(CCTSAS[[#This Row],[Carrière]],DROPDOWN[Dropdown9],1,FALSE))=TRUE,"Carrière: Utiliser la liste déroulante",""))</f>
        <v/>
      </c>
      <c r="B509" s="8"/>
      <c r="C509" s="8"/>
      <c r="D509" s="8"/>
      <c r="E509" s="21"/>
      <c r="F509" s="64"/>
      <c r="G509" s="8"/>
      <c r="H509" s="8"/>
      <c r="I509" s="10"/>
      <c r="J509" s="10"/>
      <c r="K509" s="9"/>
      <c r="L509" s="9"/>
      <c r="M509" s="9"/>
      <c r="N509"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509" s="9"/>
      <c r="P509" s="9"/>
      <c r="Q509" s="8"/>
      <c r="R509" s="38"/>
      <c r="S509" s="38"/>
      <c r="T509" s="38"/>
      <c r="U509" s="38"/>
      <c r="V509" s="38"/>
      <c r="W509" s="38"/>
      <c r="X509" s="38"/>
      <c r="Y509"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509" s="38"/>
      <c r="AA509" s="67"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509" s="8"/>
      <c r="AC509" s="203"/>
      <c r="AD509" s="503"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509" s="503"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509" s="503"/>
      <c r="AG509" s="44"/>
      <c r="AH509" s="189" t="str">
        <f>IF(COUNTA(CCTSAS[[#This Row],[N°]:[heures annuelles
selon contrat(s)]])=0,"",REVEX!$E$9)</f>
        <v/>
      </c>
      <c r="AI509" s="73" t="str">
        <f>IF(CCTSAS[[#This Row],[Allocation fonctions]]="","",IF(ISNA(VLOOKUP(CCTSAS[[#This Row],[Allocation fonctions]],'Variable et Dropdowns'!H504:H520,1,FALSE))=TRUE,"Veuillez utiliser les allocations parmis la liste déroulante.",""))</f>
        <v/>
      </c>
    </row>
    <row r="510" spans="1:35" x14ac:dyDescent="0.25">
      <c r="A510" s="73" t="str">
        <f>IF(CCTSAS[[#This Row],[Carrière]]="","",IF(ISNA(VLOOKUP(CCTSAS[[#This Row],[Carrière]],DROPDOWN[Dropdown9],1,FALSE))=TRUE,"Carrière: Utiliser la liste déroulante",""))</f>
        <v/>
      </c>
      <c r="B510" s="8"/>
      <c r="C510" s="8"/>
      <c r="D510" s="8"/>
      <c r="E510" s="21"/>
      <c r="F510" s="64"/>
      <c r="G510" s="8"/>
      <c r="H510" s="8"/>
      <c r="I510" s="10"/>
      <c r="J510" s="10"/>
      <c r="K510" s="9"/>
      <c r="L510" s="9"/>
      <c r="M510" s="9"/>
      <c r="N510" s="65" t="str">
        <f>IF(COUNTA(CCTSAS[[#This Row],[N°]:[heures annuelles
selon contrat(s)]])=0,"",((CCTSAS[[#This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de maladie]]-CCTSAS[[#This Row],[Heures CRF Covid]]-CCTSAS[[#This Row],[Autres absences motivées]])/2080*RTT!$E$18))</f>
        <v/>
      </c>
      <c r="O510" s="9"/>
      <c r="P510" s="9"/>
      <c r="Q510" s="8"/>
      <c r="R510" s="38"/>
      <c r="S510" s="38"/>
      <c r="T510" s="38"/>
      <c r="U510" s="38"/>
      <c r="V510" s="38"/>
      <c r="W510" s="38"/>
      <c r="X510" s="38"/>
      <c r="Y510" s="66" t="str">
        <f>IF(COUNTA(CCTSAS[[#This Row],[N°]:[heures annuelles
selon contrat(s)]])=0,"",CCTSAS[[#This Row],[Brut]]+CCTSAS[[#This Row],[Primes convention financement]]+CCTSAS[[#This Row],[Autres primes]]+CCTSAS[[#This Row],[Part patronale]]-ABS(CCTSAS[[#This Row],[Remboursement
Mutualité]])-ABS(CCTSAS[[#This Row],[Remboursement CRF COVID]])-ABS(CCTSAS[[#This Row],[Remboursement
Autres]]))</f>
        <v/>
      </c>
      <c r="Z510" s="38"/>
      <c r="AA510" s="68" t="str">
        <f>IF(COUNTA(CCTSAS[[#This Row],[N°]:[heures annuelles
selon contrat(s)]])=0,"",IF(CCTSAS[[#This Row],[heures annuelles
selon contrat(s)]]=0,CCTSAS[[#This Row],[Total global]]-ABS(CCTSAS[[#This Row],[Dont non opposable]]),((CCTSAS[[#This Row],[heures annuelles
selon contrat(s)]]-CCTSAS[[#This Row],[dont heures prestées en COVID entre 8:00 et 13:00 pendant la période scolaire
(période du 25/05/2020 - 15/07/2020)]]-CCTSAS[[#This Row],[dont heures additionnelles Avenant / personnel engagé spécifique COVID jusqu''au 31/12/2020]])/CCTSAS[[#This Row],[heures annuelles
selon contrat(s)]])*(CCTSAS[[#This Row],[Total global]]-ABS(CCTSAS[[#This Row],[Dont non opposable]]))))</f>
        <v/>
      </c>
      <c r="AB510" s="8"/>
      <c r="AC510" s="204"/>
      <c r="AD510" s="504" t="str">
        <f>IF(CCTSAS[[#This Row],[dont heures prestées en COVID entre 8:00 et 13:00 pendant la période scolaire
(période du 25/05/2020 - 15/07/2020)]]="","",(CCTSAS[[#This Row],[dont heures prestées en COVID entre 8:00 et 13:00 pendant la période scolaire
(période du 25/05/2020 - 15/07/2020)]]/CCTSAS[[#This Row],[heures annuelles
selon contrat(s)]])*(CCTSAS[[#This Row],[Total global]]-ABS(CCTSAS[[#This Row],[Dont non opposable]])))</f>
        <v/>
      </c>
      <c r="AE510" s="504" t="str">
        <f>IF(CCTSAS[[#This Row],[dont heures additionnelles Avenant / personnel engagé spécifique COVID jusqu''au 31/12/2020]]="","",(CCTSAS[[#This Row],[dont heures additionnelles Avenant / personnel engagé spécifique COVID jusqu''au 31/12/2020]]/CCTSAS[[#This Row],[heures annuelles
selon contrat(s)]])*(CCTSAS[[#This Row],[Total global]]-ABS(CCTSAS[[#This Row],[Dont non opposable]])))</f>
        <v/>
      </c>
      <c r="AF510" s="504"/>
      <c r="AG510" s="45"/>
      <c r="AH510" s="189" t="str">
        <f>IF(COUNTA(CCTSAS[[#This Row],[N°]:[heures annuelles
selon contrat(s)]])=0,"",REVEX!$E$9)</f>
        <v/>
      </c>
      <c r="AI510" s="73" t="str">
        <f>IF(CCTSAS[[#This Row],[Allocation fonctions]]="","",IF(ISNA(VLOOKUP(CCTSAS[[#This Row],[Allocation fonctions]],'Variable et Dropdowns'!H505:H521,1,FALSE))=TRUE,"Veuillez utiliser les allocations parmis la liste déroulante.",""))</f>
        <v/>
      </c>
    </row>
    <row r="511" spans="1:35" x14ac:dyDescent="0.25">
      <c r="B511" s="8" t="s">
        <v>33</v>
      </c>
      <c r="C511" s="8"/>
      <c r="D511" s="8"/>
      <c r="E511" s="8"/>
      <c r="F511" s="8"/>
      <c r="G511" s="8"/>
      <c r="H511" s="8"/>
      <c r="I511" s="8"/>
      <c r="J511" s="8"/>
      <c r="K511" s="16">
        <f>SUBTOTAL(109,CCTSAS[heures annuelles
selon contrat(s)])</f>
        <v>0</v>
      </c>
      <c r="L511" s="16"/>
      <c r="M511" s="16"/>
      <c r="N511" s="41">
        <f>SUBTOTAL(109,CCTSAS[Heures annuelles RTT])</f>
        <v>0</v>
      </c>
      <c r="O511" s="16">
        <f>SUBTOTAL(109,CCTSAS[Heures de maladie])</f>
        <v>0</v>
      </c>
      <c r="P511" s="16"/>
      <c r="Q511" s="16">
        <f>SUBTOTAL(109,CCTSAS[Autres absences motivées])</f>
        <v>0</v>
      </c>
      <c r="R511" s="16">
        <f>SUBTOTAL(109,CCTSAS[Brut])</f>
        <v>0</v>
      </c>
      <c r="S511" s="16">
        <f>SUBTOTAL(109,CCTSAS[Primes convention financement])</f>
        <v>0</v>
      </c>
      <c r="T511" s="16">
        <f>SUBTOTAL(109,CCTSAS[Autres primes])</f>
        <v>0</v>
      </c>
      <c r="U511" s="16">
        <f>SUBTOTAL(109,CCTSAS[Part patronale])</f>
        <v>0</v>
      </c>
      <c r="V511" s="16">
        <f>SUBTOTAL(109,CCTSAS[Remboursement
Mutualité])</f>
        <v>0</v>
      </c>
      <c r="W511" s="16"/>
      <c r="X511" s="16">
        <f>SUBTOTAL(109,CCTSAS[Remboursement
Autres])</f>
        <v>0</v>
      </c>
      <c r="Y511" s="16">
        <f>SUBTOTAL(109,CCTSAS[Total global])</f>
        <v>0</v>
      </c>
      <c r="Z511" s="16">
        <f>SUBTOTAL(109,CCTSAS[Dont non opposable])</f>
        <v>0</v>
      </c>
      <c r="AA511" s="16">
        <f>SUBTOTAL(109,CCTSAS[Total éligible])</f>
        <v>0</v>
      </c>
      <c r="AB511" s="8"/>
      <c r="AC511" s="8"/>
      <c r="AD511" s="7"/>
      <c r="AE511" s="7"/>
      <c r="AF511" s="7"/>
      <c r="AG511" s="8"/>
      <c r="AH511" s="39">
        <f>SUBTOTAL(103,CCTSAS[Code Convention])</f>
        <v>504</v>
      </c>
    </row>
  </sheetData>
  <sheetProtection algorithmName="SHA-512" hashValue="c3MGiguSOWket/FdO7ToRDhzFDN/oPoiH7Epxhr/Ki/0zWU4PZsFjIYzUVElR2mX01ylDbUz7fGHVbEXalejKQ==" saltValue="YPsUyJqBzRrzMXD2hXqZVg==" spinCount="100000" sheet="1" selectLockedCells="1" autoFilter="0"/>
  <dataValidations count="2">
    <dataValidation type="whole" errorStyle="information" allowBlank="1" showInputMessage="1" showErrorMessage="1" errorTitle="Matricule" error="Veuillez renseigner la matricule sans espaces sous le format suivant:_x000a_2018311212345" promptTitle="Matricule" prompt="Veuillez renseigner la matricule sous le format suivant: 2018123112345" sqref="E7:E510" xr:uid="{00000000-0002-0000-0600-000000000000}">
      <formula1>1000000000000</formula1>
      <formula2>9999999999999</formula2>
    </dataValidation>
    <dataValidation allowBlank="1" errorTitle="Heures annuelles selon contrat" error="_x000a_Veuillez renseigner le nombre total des heures selon le contrat. Un contrat sur 12 mois à 40 heures par semaine est à renseigner par 2.080." promptTitle="Heures annuelles selon contrat" prompt="_x000a_Veuillez renseigner le nombre total des heures selon le contrat. Un contrat sur 12 mois à 40 heures par semaine est à renseigner par 2.080." sqref="L7:M510" xr:uid="{544A953C-B521-4DF3-860D-72E6A7878B3F}"/>
  </dataValidations>
  <pageMargins left="0.7" right="0.7" top="0.75" bottom="0.75" header="0.3" footer="0.3"/>
  <pageSetup paperSize="9" scale="18" fitToHeight="0" orientation="landscape" r:id="rId1"/>
  <drawing r:id="rId2"/>
  <tableParts count="1">
    <tablePart r:id="rId3"/>
  </tableParts>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600-000003000000}">
          <x14:formula1>
            <xm:f>'Variable et Dropdowns'!$I$2:$I$81</xm:f>
          </x14:formula1>
          <xm:sqref>F7:F510</xm:sqref>
        </x14:dataValidation>
        <x14:dataValidation type="list" allowBlank="1" showInputMessage="1" showErrorMessage="1" xr:uid="{00000000-0002-0000-0600-000004000000}">
          <x14:formula1>
            <xm:f>'Information générales 2'!$C$8:$C$47</xm:f>
          </x14:formula1>
          <xm:sqref>AB7:AB510</xm:sqref>
        </x14:dataValidation>
        <x14:dataValidation type="list" allowBlank="1" showInputMessage="1" showErrorMessage="1" xr:uid="{00000000-0002-0000-0600-000005000000}">
          <x14:formula1>
            <xm:f>'Variable et Dropdowns'!$H$2:$H$18</xm:f>
          </x14:formula1>
          <xm:sqref>AC7:AC510</xm:sqref>
        </x14:dataValidation>
        <x14:dataValidation type="list" allowBlank="1" showInputMessage="1" showErrorMessage="1" xr:uid="{0008B8CF-F878-4DCD-9D1F-678149EB1CB1}">
          <x14:formula1>
            <xm:f>'Variable et Dropdowns'!$K$2:$K$7</xm:f>
          </x14:formula1>
          <xm:sqref>AF7:AF510</xm:sqref>
        </x14:dataValidation>
        <x14:dataValidation type="date" allowBlank="1" showInputMessage="1" showErrorMessage="1" xr:uid="{00000000-0002-0000-0600-000002000000}">
          <x14:formula1>
            <xm:f>DATE('Informations générales 1'!$C$10,1,1)</xm:f>
          </x14:formula1>
          <x14:formula2>
            <xm:f>DATE('Informations générales 1'!$C$10,12,31)</xm:f>
          </x14:formula2>
          <xm:sqref>J7:J510 I7 I9:I510 I8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theme="8" tint="0.59999389629810485"/>
    <pageSetUpPr fitToPage="1"/>
  </sheetPr>
  <dimension ref="A1:AH511"/>
  <sheetViews>
    <sheetView topLeftCell="B1" zoomScale="85" zoomScaleNormal="85" workbookViewId="0">
      <selection activeCell="B7" sqref="B7"/>
    </sheetView>
  </sheetViews>
  <sheetFormatPr defaultColWidth="9.140625" defaultRowHeight="15" x14ac:dyDescent="0.25"/>
  <cols>
    <col min="1" max="1" width="6.140625" style="2" customWidth="1"/>
    <col min="2" max="2" width="7.28515625" style="2" customWidth="1"/>
    <col min="3" max="3" width="42.5703125" style="2" customWidth="1"/>
    <col min="4" max="4" width="31" style="2" customWidth="1"/>
    <col min="5" max="5" width="16.7109375" style="2" hidden="1" customWidth="1"/>
    <col min="6" max="6" width="23.42578125" style="2" bestFit="1" customWidth="1"/>
    <col min="7" max="7" width="39.7109375" style="2" bestFit="1" customWidth="1"/>
    <col min="8" max="8" width="32.85546875" style="2" bestFit="1" customWidth="1"/>
    <col min="9" max="9" width="12.28515625" style="2" bestFit="1" customWidth="1"/>
    <col min="10" max="10" width="11.140625" style="2" bestFit="1" customWidth="1"/>
    <col min="11" max="11" width="10.7109375" style="2" bestFit="1" customWidth="1"/>
    <col min="12" max="12" width="12.7109375" style="2" bestFit="1" customWidth="1"/>
    <col min="13" max="13" width="21.140625" style="2" bestFit="1" customWidth="1"/>
    <col min="14" max="15" width="21.140625" style="2" customWidth="1"/>
    <col min="16" max="16" width="24.85546875" style="2" bestFit="1" customWidth="1"/>
    <col min="17" max="17" width="24.42578125" style="2" bestFit="1" customWidth="1"/>
    <col min="18" max="18" width="24.42578125" style="2" customWidth="1"/>
    <col min="19" max="19" width="12.85546875" style="2" bestFit="1" customWidth="1"/>
    <col min="20" max="20" width="18.140625" style="2" bestFit="1" customWidth="1"/>
    <col min="21" max="21" width="18.28515625" style="2" bestFit="1" customWidth="1"/>
    <col min="22" max="22" width="30.28515625" style="2" bestFit="1" customWidth="1"/>
    <col min="23" max="23" width="17.42578125" style="2" bestFit="1" customWidth="1"/>
    <col min="24" max="24" width="15.85546875" style="2" bestFit="1" customWidth="1"/>
    <col min="25" max="25" width="23.7109375" style="2" bestFit="1" customWidth="1"/>
    <col min="26" max="26" width="17.140625" style="2" bestFit="1" customWidth="1"/>
    <col min="27" max="27" width="43" style="2" bestFit="1" customWidth="1"/>
    <col min="28" max="28" width="33.42578125" style="2" bestFit="1" customWidth="1"/>
    <col min="29" max="30" width="18.42578125" style="2" bestFit="1" customWidth="1"/>
    <col min="31" max="31" width="79.42578125" style="2" hidden="1" customWidth="1"/>
    <col min="32" max="32" width="28.85546875" style="2" customWidth="1"/>
    <col min="33" max="33" width="21" style="2" bestFit="1" customWidth="1"/>
    <col min="34" max="16384" width="9.140625" style="2"/>
  </cols>
  <sheetData>
    <row r="1" spans="1:34" x14ac:dyDescent="0.25">
      <c r="B1" s="11" t="str">
        <f>'Informations générales 1'!B7</f>
        <v>DECOMPTE ANNUEL</v>
      </c>
    </row>
    <row r="2" spans="1:34" x14ac:dyDescent="0.25">
      <c r="B2" s="11" t="str">
        <f>'Informations générales 1'!C20&amp;" - "&amp;'Informations générales 1'!C24</f>
        <v>Nom Gestionnaire - Nom SEA</v>
      </c>
    </row>
    <row r="3" spans="1:34" x14ac:dyDescent="0.25">
      <c r="B3" s="20">
        <f>'Informations générales 1'!C10</f>
        <v>2020</v>
      </c>
    </row>
    <row r="4" spans="1:34" x14ac:dyDescent="0.25">
      <c r="L4" s="72" t="s">
        <v>337</v>
      </c>
      <c r="M4" s="197">
        <f>SUM(SalCommune[heures annuelles
selon contrat(s)])</f>
        <v>0</v>
      </c>
      <c r="N4" s="197"/>
      <c r="O4" s="197"/>
      <c r="P4" s="197">
        <f>SUM(SalCommune[Heures annuelles RTT])</f>
        <v>0</v>
      </c>
      <c r="Q4" s="197">
        <f>SUM(SalCommune[Heures de maladie])</f>
        <v>0</v>
      </c>
      <c r="R4" s="197"/>
      <c r="S4" s="198">
        <f>SUM(SalCommune[Brut])</f>
        <v>0</v>
      </c>
      <c r="T4" s="198">
        <f>SUM(SalCommune[Autres Primes])</f>
        <v>0</v>
      </c>
      <c r="U4" s="198">
        <f>SUM(SalCommune[Part patronale])</f>
        <v>0</v>
      </c>
      <c r="V4" s="198">
        <f>SUM(SalCommune[Remboursement Mutualité])</f>
        <v>0</v>
      </c>
      <c r="W4" s="198">
        <f>SUM(SalCommune[Remboursement
Autres])</f>
        <v>0</v>
      </c>
      <c r="X4" s="198">
        <f>SUM(SalCommune[Total global])</f>
        <v>0</v>
      </c>
      <c r="Y4" s="198">
        <f>SUM(SalCommune[Dont non opposable])</f>
        <v>0</v>
      </c>
      <c r="Z4" s="198">
        <f>SUM(SalCommune[Total éligible])</f>
        <v>0</v>
      </c>
    </row>
    <row r="5" spans="1:34" x14ac:dyDescent="0.25">
      <c r="L5" s="72" t="s">
        <v>418</v>
      </c>
      <c r="M5" s="197">
        <f>SalCommune[[#Totals],[heures annuelles
selon contrat(s)]]</f>
        <v>0</v>
      </c>
      <c r="N5" s="197"/>
      <c r="O5" s="197"/>
      <c r="P5" s="197">
        <f>SalCommune[[#Totals],[Heures annuelles RTT]]</f>
        <v>0</v>
      </c>
      <c r="Q5" s="197">
        <f>SalCommune[[#Totals],[Heures de maladie]]</f>
        <v>0</v>
      </c>
      <c r="R5" s="197"/>
      <c r="S5" s="198">
        <f>SalCommune[[#Totals],[Brut]]</f>
        <v>0</v>
      </c>
      <c r="T5" s="198">
        <f>SalCommune[[#Totals],[Autres Primes]]</f>
        <v>0</v>
      </c>
      <c r="U5" s="198">
        <f>SalCommune[[#Totals],[Part patronale]]</f>
        <v>0</v>
      </c>
      <c r="V5" s="198">
        <f>SalCommune[[#Totals],[Remboursement Mutualité]]</f>
        <v>0</v>
      </c>
      <c r="W5" s="198">
        <f>SalCommune[[#Totals],[Remboursement
Autres]]</f>
        <v>0</v>
      </c>
      <c r="X5" s="198">
        <f>SalCommune[[#Totals],[Total global]]</f>
        <v>0</v>
      </c>
      <c r="Y5" s="198">
        <f>SalCommune[[#Totals],[Dont non opposable]]</f>
        <v>0</v>
      </c>
      <c r="Z5" s="198">
        <f>SalCommune[[#Totals],[Total éligible]]</f>
        <v>0</v>
      </c>
    </row>
    <row r="6" spans="1:34" ht="105" x14ac:dyDescent="0.25">
      <c r="B6" s="36" t="s">
        <v>21</v>
      </c>
      <c r="C6" s="36" t="s">
        <v>22</v>
      </c>
      <c r="D6" s="36" t="s">
        <v>128</v>
      </c>
      <c r="E6" s="36" t="s">
        <v>129</v>
      </c>
      <c r="F6" s="36" t="s">
        <v>384</v>
      </c>
      <c r="G6" s="36" t="s">
        <v>130</v>
      </c>
      <c r="H6" s="36" t="s">
        <v>385</v>
      </c>
      <c r="I6" s="36" t="s">
        <v>131</v>
      </c>
      <c r="J6" s="36" t="s">
        <v>132</v>
      </c>
      <c r="K6" s="36" t="s">
        <v>88</v>
      </c>
      <c r="L6" s="36" t="s">
        <v>89</v>
      </c>
      <c r="M6" s="6" t="s">
        <v>639</v>
      </c>
      <c r="N6" s="6" t="s">
        <v>659</v>
      </c>
      <c r="O6" s="6" t="s">
        <v>640</v>
      </c>
      <c r="P6" s="36" t="s">
        <v>133</v>
      </c>
      <c r="Q6" s="6" t="s">
        <v>134</v>
      </c>
      <c r="R6" s="6" t="s">
        <v>415</v>
      </c>
      <c r="S6" s="36" t="s">
        <v>136</v>
      </c>
      <c r="T6" s="36" t="s">
        <v>386</v>
      </c>
      <c r="U6" s="36" t="s">
        <v>138</v>
      </c>
      <c r="V6" s="36" t="s">
        <v>387</v>
      </c>
      <c r="W6" s="6" t="s">
        <v>140</v>
      </c>
      <c r="X6" s="36" t="s">
        <v>141</v>
      </c>
      <c r="Y6" s="36" t="s">
        <v>142</v>
      </c>
      <c r="Z6" s="36" t="s">
        <v>143</v>
      </c>
      <c r="AA6" s="36" t="s">
        <v>144</v>
      </c>
      <c r="AB6" s="36" t="s">
        <v>388</v>
      </c>
      <c r="AC6" s="6" t="s">
        <v>631</v>
      </c>
      <c r="AD6" s="6" t="s">
        <v>632</v>
      </c>
      <c r="AE6" s="6" t="s">
        <v>373</v>
      </c>
      <c r="AF6" s="36" t="s">
        <v>98</v>
      </c>
      <c r="AG6" s="36" t="s">
        <v>146</v>
      </c>
    </row>
    <row r="7" spans="1:34" x14ac:dyDescent="0.25">
      <c r="A7" s="73" t="str">
        <f>IF(SalCommune[[#This Row],[Statut]]="","",IF(ISNA(VLOOKUP(SalCommune[[#This Row],[Statut]],'Grille communale'!$B$3:$B$5,1,FALSE))=TRUE,"Veuillez choisir le statut parmis la liste déroulante",""))</f>
        <v/>
      </c>
      <c r="B7" s="8"/>
      <c r="C7" s="8"/>
      <c r="D7" s="8"/>
      <c r="E7" s="21"/>
      <c r="F7" s="8"/>
      <c r="G7" s="8"/>
      <c r="H7" s="9"/>
      <c r="I7" s="9"/>
      <c r="J7" s="9"/>
      <c r="K7" s="10"/>
      <c r="L7" s="10"/>
      <c r="M7" s="9"/>
      <c r="N7" s="9"/>
      <c r="O7" s="9"/>
      <c r="P7"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7" s="9"/>
      <c r="R7" s="9"/>
      <c r="S7" s="38"/>
      <c r="T7" s="38"/>
      <c r="U7" s="38"/>
      <c r="V7" s="38"/>
      <c r="W7" s="38"/>
      <c r="X7" s="66" t="str">
        <f>IF(COUNTA(SalCommune[[#This Row],[N°]:[heures annuelles
selon contrat(s)]])=0,"",SalCommune[[#This Row],[Brut]]+SalCommune[[#This Row],[Autres Primes]]+SalCommune[[#This Row],[Part patronale]]-ABS(SalCommune[[#This Row],[Remboursement Mutualité]])-ABS(SalCommune[[#This Row],[Remboursement
Autres]]))</f>
        <v/>
      </c>
      <c r="Y7" s="38"/>
      <c r="Z7" s="66"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7" s="8"/>
      <c r="AB7" s="64"/>
      <c r="AC7" s="501"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7" s="501"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7" s="505"/>
      <c r="AF7" s="187"/>
      <c r="AG7" s="200" t="str">
        <f>IF(COUNTA(SalCommune[[#This Row],[N°]:[heures annuelles
selon contrat(s)]])=0,"",REVEX!$E$9)</f>
        <v/>
      </c>
      <c r="AH7" s="73" t="str">
        <f>IF(SalCommune[[#This Row],[Allocations fonctions]]="","",IF(ISNA(VLOOKUP(SalCommune[[#This Row],[Allocations fonctions]],DROPDOWN[Dropdown82],1,FALSE))=TRUE,"&lt;-- Veuillez choisir l'allocation parmis la liste déroulante.",""))</f>
        <v/>
      </c>
    </row>
    <row r="8" spans="1:34" x14ac:dyDescent="0.25">
      <c r="A8" s="73" t="str">
        <f>IF(SalCommune[[#This Row],[Statut]]="","",IF(ISNA(VLOOKUP(SalCommune[[#This Row],[Statut]],'Grille communale'!$B$3:$B$5,1,FALSE))=TRUE,"Veuillez choisir le statut parmis la liste déroulante",""))</f>
        <v/>
      </c>
      <c r="B8" s="8"/>
      <c r="C8" s="8"/>
      <c r="D8" s="8"/>
      <c r="E8" s="21"/>
      <c r="F8" s="8"/>
      <c r="G8" s="8"/>
      <c r="H8" s="9"/>
      <c r="I8" s="9"/>
      <c r="J8" s="9"/>
      <c r="K8" s="10"/>
      <c r="L8" s="10"/>
      <c r="M8" s="9"/>
      <c r="N8" s="9"/>
      <c r="O8" s="9"/>
      <c r="P8"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8" s="9"/>
      <c r="R8" s="9"/>
      <c r="S8" s="38"/>
      <c r="T8" s="38"/>
      <c r="U8" s="38"/>
      <c r="V8" s="38"/>
      <c r="W8" s="38"/>
      <c r="X8" s="67" t="str">
        <f>IF(COUNTA(SalCommune[[#This Row],[N°]:[heures annuelles
selon contrat(s)]])=0,"",SalCommune[[#This Row],[Brut]]+SalCommune[[#This Row],[Autres Primes]]+SalCommune[[#This Row],[Part patronale]]-ABS(SalCommune[[#This Row],[Remboursement Mutualité]])-ABS(SalCommune[[#This Row],[Remboursement
Autres]]))</f>
        <v/>
      </c>
      <c r="Y8" s="38"/>
      <c r="Z8"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8" s="8"/>
      <c r="AB8" s="64"/>
      <c r="AC8"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8"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8" s="505"/>
      <c r="AF8" s="187"/>
      <c r="AG8" s="200" t="str">
        <f>IF(COUNTA(SalCommune[[#This Row],[N°]:[heures annuelles
selon contrat(s)]])=0,"",REVEX!$E$9)</f>
        <v/>
      </c>
      <c r="AH8" s="73" t="str">
        <f>IF(SalCommune[[#This Row],[Allocations fonctions]]="","",IF(ISNA(VLOOKUP(SalCommune[[#This Row],[Allocations fonctions]],DROPDOWN[Dropdown82],1,FALSE))=TRUE,"&lt;-- Veuillez choisir l'allocation parmis la liste déroulante.",""))</f>
        <v/>
      </c>
    </row>
    <row r="9" spans="1:34" x14ac:dyDescent="0.25">
      <c r="A9" s="73" t="str">
        <f>IF(SalCommune[[#This Row],[Statut]]="","",IF(ISNA(VLOOKUP(SalCommune[[#This Row],[Statut]],'Grille communale'!$B$3:$B$5,1,FALSE))=TRUE,"Veuillez choisir le statut parmis la liste déroulante",""))</f>
        <v/>
      </c>
      <c r="B9" s="8"/>
      <c r="C9" s="8"/>
      <c r="D9" s="8"/>
      <c r="E9" s="21"/>
      <c r="F9" s="8"/>
      <c r="G9" s="8"/>
      <c r="H9" s="9"/>
      <c r="I9" s="9"/>
      <c r="J9" s="9"/>
      <c r="K9" s="10"/>
      <c r="L9" s="10"/>
      <c r="M9" s="9"/>
      <c r="N9" s="9"/>
      <c r="O9" s="9"/>
      <c r="P9"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9" s="9"/>
      <c r="R9" s="9"/>
      <c r="S9" s="38"/>
      <c r="T9" s="38"/>
      <c r="U9" s="38"/>
      <c r="V9" s="38"/>
      <c r="W9" s="38"/>
      <c r="X9" s="67" t="str">
        <f>IF(COUNTA(SalCommune[[#This Row],[N°]:[heures annuelles
selon contrat(s)]])=0,"",SalCommune[[#This Row],[Brut]]+SalCommune[[#This Row],[Autres Primes]]+SalCommune[[#This Row],[Part patronale]]-ABS(SalCommune[[#This Row],[Remboursement Mutualité]])-ABS(SalCommune[[#This Row],[Remboursement
Autres]]))</f>
        <v/>
      </c>
      <c r="Y9" s="38"/>
      <c r="Z9"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9" s="8"/>
      <c r="AB9" s="64"/>
      <c r="AC9"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9"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9" s="505"/>
      <c r="AF9" s="187"/>
      <c r="AG9" s="200" t="str">
        <f>IF(COUNTA(SalCommune[[#This Row],[N°]:[heures annuelles
selon contrat(s)]])=0,"",REVEX!$E$9)</f>
        <v/>
      </c>
      <c r="AH9" s="73" t="str">
        <f>IF(SalCommune[[#This Row],[Allocations fonctions]]="","",IF(ISNA(VLOOKUP(SalCommune[[#This Row],[Allocations fonctions]],DROPDOWN[Dropdown82],1,FALSE))=TRUE,"&lt;-- Veuillez choisir l'allocation parmis la liste déroulante.",""))</f>
        <v/>
      </c>
    </row>
    <row r="10" spans="1:34" x14ac:dyDescent="0.25">
      <c r="A10" s="73" t="str">
        <f>IF(SalCommune[[#This Row],[Statut]]="","",IF(ISNA(VLOOKUP(SalCommune[[#This Row],[Statut]],'Grille communale'!$B$3:$B$5,1,FALSE))=TRUE,"Veuillez choisir le statut parmis la liste déroulante",""))</f>
        <v/>
      </c>
      <c r="B10" s="8"/>
      <c r="C10" s="8"/>
      <c r="D10" s="8"/>
      <c r="E10" s="21"/>
      <c r="F10" s="8"/>
      <c r="G10" s="8"/>
      <c r="H10" s="9"/>
      <c r="I10" s="9"/>
      <c r="J10" s="9"/>
      <c r="K10" s="10"/>
      <c r="L10" s="10"/>
      <c r="M10" s="9"/>
      <c r="N10" s="9"/>
      <c r="O10" s="9"/>
      <c r="P10"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0" s="9"/>
      <c r="R10" s="9"/>
      <c r="S10" s="38"/>
      <c r="T10" s="38"/>
      <c r="U10" s="38"/>
      <c r="V10" s="38"/>
      <c r="W10" s="38"/>
      <c r="X10" s="67" t="str">
        <f>IF(COUNTA(SalCommune[[#This Row],[N°]:[heures annuelles
selon contrat(s)]])=0,"",SalCommune[[#This Row],[Brut]]+SalCommune[[#This Row],[Autres Primes]]+SalCommune[[#This Row],[Part patronale]]-ABS(SalCommune[[#This Row],[Remboursement Mutualité]])-ABS(SalCommune[[#This Row],[Remboursement
Autres]]))</f>
        <v/>
      </c>
      <c r="Y10" s="38"/>
      <c r="Z10"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0" s="8"/>
      <c r="AB10" s="64"/>
      <c r="AC10"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0"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0" s="505"/>
      <c r="AF10" s="187"/>
      <c r="AG10" s="200" t="str">
        <f>IF(COUNTA(SalCommune[[#This Row],[N°]:[heures annuelles
selon contrat(s)]])=0,"",REVEX!$E$9)</f>
        <v/>
      </c>
      <c r="AH10" s="73" t="str">
        <f>IF(SalCommune[[#This Row],[Allocations fonctions]]="","",IF(ISNA(VLOOKUP(SalCommune[[#This Row],[Allocations fonctions]],DROPDOWN[Dropdown82],1,FALSE))=TRUE,"&lt;-- Veuillez choisir l'allocation parmis la liste déroulante.",""))</f>
        <v/>
      </c>
    </row>
    <row r="11" spans="1:34" x14ac:dyDescent="0.25">
      <c r="A11" s="73" t="str">
        <f>IF(SalCommune[[#This Row],[Statut]]="","",IF(ISNA(VLOOKUP(SalCommune[[#This Row],[Statut]],'Grille communale'!$B$3:$B$5,1,FALSE))=TRUE,"Veuillez choisir le statut parmis la liste déroulante",""))</f>
        <v/>
      </c>
      <c r="B11" s="8"/>
      <c r="C11" s="8"/>
      <c r="D11" s="8"/>
      <c r="E11" s="21"/>
      <c r="F11" s="8"/>
      <c r="G11" s="8"/>
      <c r="H11" s="9"/>
      <c r="I11" s="9"/>
      <c r="J11" s="9"/>
      <c r="K11" s="10"/>
      <c r="L11" s="10"/>
      <c r="M11" s="9"/>
      <c r="N11" s="9"/>
      <c r="O11" s="9"/>
      <c r="P11"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1" s="9"/>
      <c r="R11" s="9"/>
      <c r="S11" s="38"/>
      <c r="T11" s="38"/>
      <c r="U11" s="38"/>
      <c r="V11" s="38"/>
      <c r="W11" s="38"/>
      <c r="X11" s="67" t="str">
        <f>IF(COUNTA(SalCommune[[#This Row],[N°]:[heures annuelles
selon contrat(s)]])=0,"",SalCommune[[#This Row],[Brut]]+SalCommune[[#This Row],[Autres Primes]]+SalCommune[[#This Row],[Part patronale]]-ABS(SalCommune[[#This Row],[Remboursement Mutualité]])-ABS(SalCommune[[#This Row],[Remboursement
Autres]]))</f>
        <v/>
      </c>
      <c r="Y11" s="38"/>
      <c r="Z11"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1" s="8"/>
      <c r="AB11" s="64"/>
      <c r="AC11"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1"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1" s="505"/>
      <c r="AF11" s="187"/>
      <c r="AG11" s="200" t="str">
        <f>IF(COUNTA(SalCommune[[#This Row],[N°]:[heures annuelles
selon contrat(s)]])=0,"",REVEX!$E$9)</f>
        <v/>
      </c>
      <c r="AH11" s="73" t="str">
        <f>IF(SalCommune[[#This Row],[Allocations fonctions]]="","",IF(ISNA(VLOOKUP(SalCommune[[#This Row],[Allocations fonctions]],DROPDOWN[Dropdown82],1,FALSE))=TRUE,"&lt;-- Veuillez choisir l'allocation parmis la liste déroulante.",""))</f>
        <v/>
      </c>
    </row>
    <row r="12" spans="1:34" x14ac:dyDescent="0.25">
      <c r="A12" s="73" t="str">
        <f>IF(SalCommune[[#This Row],[Statut]]="","",IF(ISNA(VLOOKUP(SalCommune[[#This Row],[Statut]],'Grille communale'!$B$3:$B$5,1,FALSE))=TRUE,"Veuillez choisir le statut parmis la liste déroulante",""))</f>
        <v/>
      </c>
      <c r="B12" s="8"/>
      <c r="C12" s="8"/>
      <c r="D12" s="8"/>
      <c r="E12" s="21"/>
      <c r="F12" s="8"/>
      <c r="G12" s="8"/>
      <c r="H12" s="9"/>
      <c r="I12" s="9"/>
      <c r="J12" s="9"/>
      <c r="K12" s="10"/>
      <c r="L12" s="10"/>
      <c r="M12" s="9"/>
      <c r="N12" s="9"/>
      <c r="O12" s="9"/>
      <c r="P12"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2" s="9"/>
      <c r="R12" s="9"/>
      <c r="S12" s="38"/>
      <c r="T12" s="38"/>
      <c r="U12" s="38"/>
      <c r="V12" s="38"/>
      <c r="W12" s="38"/>
      <c r="X12" s="67" t="str">
        <f>IF(COUNTA(SalCommune[[#This Row],[N°]:[heures annuelles
selon contrat(s)]])=0,"",SalCommune[[#This Row],[Brut]]+SalCommune[[#This Row],[Autres Primes]]+SalCommune[[#This Row],[Part patronale]]-ABS(SalCommune[[#This Row],[Remboursement Mutualité]])-ABS(SalCommune[[#This Row],[Remboursement
Autres]]))</f>
        <v/>
      </c>
      <c r="Y12" s="38"/>
      <c r="Z12"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2" s="8"/>
      <c r="AB12" s="64"/>
      <c r="AC12"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2"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2" s="505"/>
      <c r="AF12" s="187"/>
      <c r="AG12" s="200" t="str">
        <f>IF(COUNTA(SalCommune[[#This Row],[N°]:[heures annuelles
selon contrat(s)]])=0,"",REVEX!$E$9)</f>
        <v/>
      </c>
      <c r="AH12" s="73" t="str">
        <f>IF(SalCommune[[#This Row],[Allocations fonctions]]="","",IF(ISNA(VLOOKUP(SalCommune[[#This Row],[Allocations fonctions]],DROPDOWN[Dropdown82],1,FALSE))=TRUE,"&lt;-- Veuillez choisir l'allocation parmis la liste déroulante.",""))</f>
        <v/>
      </c>
    </row>
    <row r="13" spans="1:34" x14ac:dyDescent="0.25">
      <c r="A13" s="73" t="str">
        <f>IF(SalCommune[[#This Row],[Statut]]="","",IF(ISNA(VLOOKUP(SalCommune[[#This Row],[Statut]],'Grille communale'!$B$3:$B$5,1,FALSE))=TRUE,"Veuillez choisir le statut parmis la liste déroulante",""))</f>
        <v/>
      </c>
      <c r="B13" s="8"/>
      <c r="C13" s="8"/>
      <c r="D13" s="8"/>
      <c r="E13" s="21"/>
      <c r="F13" s="8"/>
      <c r="G13" s="8"/>
      <c r="H13" s="9"/>
      <c r="I13" s="9"/>
      <c r="J13" s="9"/>
      <c r="K13" s="10"/>
      <c r="L13" s="10"/>
      <c r="M13" s="9"/>
      <c r="N13" s="9"/>
      <c r="O13" s="9"/>
      <c r="P13"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3" s="9"/>
      <c r="R13" s="9"/>
      <c r="S13" s="38"/>
      <c r="T13" s="38"/>
      <c r="U13" s="38"/>
      <c r="V13" s="38"/>
      <c r="W13" s="38"/>
      <c r="X13" s="67" t="str">
        <f>IF(COUNTA(SalCommune[[#This Row],[N°]:[heures annuelles
selon contrat(s)]])=0,"",SalCommune[[#This Row],[Brut]]+SalCommune[[#This Row],[Autres Primes]]+SalCommune[[#This Row],[Part patronale]]-ABS(SalCommune[[#This Row],[Remboursement Mutualité]])-ABS(SalCommune[[#This Row],[Remboursement
Autres]]))</f>
        <v/>
      </c>
      <c r="Y13" s="38"/>
      <c r="Z13"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3" s="8"/>
      <c r="AB13" s="64"/>
      <c r="AC13"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3"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3" s="505"/>
      <c r="AF13" s="187"/>
      <c r="AG13" s="200" t="str">
        <f>IF(COUNTA(SalCommune[[#This Row],[N°]:[heures annuelles
selon contrat(s)]])=0,"",REVEX!$E$9)</f>
        <v/>
      </c>
      <c r="AH13" s="73" t="str">
        <f>IF(SalCommune[[#This Row],[Allocations fonctions]]="","",IF(ISNA(VLOOKUP(SalCommune[[#This Row],[Allocations fonctions]],DROPDOWN[Dropdown82],1,FALSE))=TRUE,"&lt;-- Veuillez choisir l'allocation parmis la liste déroulante.",""))</f>
        <v/>
      </c>
    </row>
    <row r="14" spans="1:34" x14ac:dyDescent="0.25">
      <c r="A14" s="73" t="str">
        <f>IF(SalCommune[[#This Row],[Statut]]="","",IF(ISNA(VLOOKUP(SalCommune[[#This Row],[Statut]],'Grille communale'!$B$3:$B$5,1,FALSE))=TRUE,"Veuillez choisir le statut parmis la liste déroulante",""))</f>
        <v/>
      </c>
      <c r="B14" s="8"/>
      <c r="C14" s="8"/>
      <c r="D14" s="8"/>
      <c r="E14" s="21"/>
      <c r="F14" s="8"/>
      <c r="G14" s="8"/>
      <c r="H14" s="9"/>
      <c r="I14" s="9"/>
      <c r="J14" s="9"/>
      <c r="K14" s="10"/>
      <c r="L14" s="10"/>
      <c r="M14" s="9"/>
      <c r="N14" s="9"/>
      <c r="O14" s="9"/>
      <c r="P14"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4" s="9"/>
      <c r="R14" s="9"/>
      <c r="S14" s="38"/>
      <c r="T14" s="38"/>
      <c r="U14" s="38"/>
      <c r="V14" s="38"/>
      <c r="W14" s="38"/>
      <c r="X14" s="67" t="str">
        <f>IF(COUNTA(SalCommune[[#This Row],[N°]:[heures annuelles
selon contrat(s)]])=0,"",SalCommune[[#This Row],[Brut]]+SalCommune[[#This Row],[Autres Primes]]+SalCommune[[#This Row],[Part patronale]]-ABS(SalCommune[[#This Row],[Remboursement Mutualité]])-ABS(SalCommune[[#This Row],[Remboursement
Autres]]))</f>
        <v/>
      </c>
      <c r="Y14" s="38"/>
      <c r="Z14"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4" s="8"/>
      <c r="AB14" s="64"/>
      <c r="AC14"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4"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4" s="505"/>
      <c r="AF14" s="187"/>
      <c r="AG14" s="200" t="str">
        <f>IF(COUNTA(SalCommune[[#This Row],[N°]:[heures annuelles
selon contrat(s)]])=0,"",REVEX!$E$9)</f>
        <v/>
      </c>
      <c r="AH14" s="73" t="str">
        <f>IF(SalCommune[[#This Row],[Allocations fonctions]]="","",IF(ISNA(VLOOKUP(SalCommune[[#This Row],[Allocations fonctions]],DROPDOWN[Dropdown82],1,FALSE))=TRUE,"&lt;-- Veuillez choisir l'allocation parmis la liste déroulante.",""))</f>
        <v/>
      </c>
    </row>
    <row r="15" spans="1:34" x14ac:dyDescent="0.25">
      <c r="A15" s="73" t="str">
        <f>IF(SalCommune[[#This Row],[Statut]]="","",IF(ISNA(VLOOKUP(SalCommune[[#This Row],[Statut]],'Grille communale'!$B$3:$B$5,1,FALSE))=TRUE,"Veuillez choisir le statut parmis la liste déroulante",""))</f>
        <v/>
      </c>
      <c r="B15" s="8"/>
      <c r="C15" s="8"/>
      <c r="D15" s="8"/>
      <c r="E15" s="21"/>
      <c r="F15" s="8"/>
      <c r="G15" s="8"/>
      <c r="H15" s="9"/>
      <c r="I15" s="9"/>
      <c r="J15" s="9"/>
      <c r="K15" s="10"/>
      <c r="L15" s="10"/>
      <c r="M15" s="9"/>
      <c r="N15" s="9"/>
      <c r="O15" s="9"/>
      <c r="P15"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5" s="9"/>
      <c r="R15" s="9"/>
      <c r="S15" s="38"/>
      <c r="T15" s="38"/>
      <c r="U15" s="38"/>
      <c r="V15" s="38"/>
      <c r="W15" s="38"/>
      <c r="X15" s="67" t="str">
        <f>IF(COUNTA(SalCommune[[#This Row],[N°]:[heures annuelles
selon contrat(s)]])=0,"",SalCommune[[#This Row],[Brut]]+SalCommune[[#This Row],[Autres Primes]]+SalCommune[[#This Row],[Part patronale]]-ABS(SalCommune[[#This Row],[Remboursement Mutualité]])-ABS(SalCommune[[#This Row],[Remboursement
Autres]]))</f>
        <v/>
      </c>
      <c r="Y15" s="38"/>
      <c r="Z15"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5" s="8"/>
      <c r="AB15" s="64"/>
      <c r="AC15"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5"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5" s="505"/>
      <c r="AF15" s="187"/>
      <c r="AG15" s="200" t="str">
        <f>IF(COUNTA(SalCommune[[#This Row],[N°]:[heures annuelles
selon contrat(s)]])=0,"",REVEX!$E$9)</f>
        <v/>
      </c>
      <c r="AH15" s="73" t="str">
        <f>IF(SalCommune[[#This Row],[Allocations fonctions]]="","",IF(ISNA(VLOOKUP(SalCommune[[#This Row],[Allocations fonctions]],DROPDOWN[Dropdown82],1,FALSE))=TRUE,"&lt;-- Veuillez choisir l'allocation parmis la liste déroulante.",""))</f>
        <v/>
      </c>
    </row>
    <row r="16" spans="1:34" x14ac:dyDescent="0.25">
      <c r="A16" s="73" t="str">
        <f>IF(SalCommune[[#This Row],[Statut]]="","",IF(ISNA(VLOOKUP(SalCommune[[#This Row],[Statut]],'Grille communale'!$B$3:$B$5,1,FALSE))=TRUE,"Veuillez choisir le statut parmis la liste déroulante",""))</f>
        <v/>
      </c>
      <c r="B16" s="8"/>
      <c r="C16" s="8"/>
      <c r="D16" s="8"/>
      <c r="E16" s="21"/>
      <c r="F16" s="8"/>
      <c r="G16" s="8"/>
      <c r="H16" s="9"/>
      <c r="I16" s="9"/>
      <c r="J16" s="9"/>
      <c r="K16" s="10"/>
      <c r="L16" s="10"/>
      <c r="M16" s="9"/>
      <c r="N16" s="9"/>
      <c r="O16" s="9"/>
      <c r="P16"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6" s="9"/>
      <c r="R16" s="9"/>
      <c r="S16" s="38"/>
      <c r="T16" s="38"/>
      <c r="U16" s="38"/>
      <c r="V16" s="38"/>
      <c r="W16" s="38"/>
      <c r="X16" s="67" t="str">
        <f>IF(COUNTA(SalCommune[[#This Row],[N°]:[heures annuelles
selon contrat(s)]])=0,"",SalCommune[[#This Row],[Brut]]+SalCommune[[#This Row],[Autres Primes]]+SalCommune[[#This Row],[Part patronale]]-ABS(SalCommune[[#This Row],[Remboursement Mutualité]])-ABS(SalCommune[[#This Row],[Remboursement
Autres]]))</f>
        <v/>
      </c>
      <c r="Y16" s="38"/>
      <c r="Z16"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6" s="8"/>
      <c r="AB16" s="64"/>
      <c r="AC16"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6"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6" s="505"/>
      <c r="AF16" s="187"/>
      <c r="AG16" s="200" t="str">
        <f>IF(COUNTA(SalCommune[[#This Row],[N°]:[heures annuelles
selon contrat(s)]])=0,"",REVEX!$E$9)</f>
        <v/>
      </c>
      <c r="AH16" s="73" t="str">
        <f>IF(SalCommune[[#This Row],[Allocations fonctions]]="","",IF(ISNA(VLOOKUP(SalCommune[[#This Row],[Allocations fonctions]],DROPDOWN[Dropdown82],1,FALSE))=TRUE,"&lt;-- Veuillez choisir l'allocation parmis la liste déroulante.",""))</f>
        <v/>
      </c>
    </row>
    <row r="17" spans="1:34" x14ac:dyDescent="0.25">
      <c r="A17" s="73" t="str">
        <f>IF(SalCommune[[#This Row],[Statut]]="","",IF(ISNA(VLOOKUP(SalCommune[[#This Row],[Statut]],'Grille communale'!$B$3:$B$5,1,FALSE))=TRUE,"Veuillez choisir le statut parmis la liste déroulante",""))</f>
        <v/>
      </c>
      <c r="B17" s="8"/>
      <c r="C17" s="8"/>
      <c r="D17" s="8"/>
      <c r="E17" s="21"/>
      <c r="F17" s="8"/>
      <c r="G17" s="8"/>
      <c r="H17" s="9"/>
      <c r="I17" s="9"/>
      <c r="J17" s="9"/>
      <c r="K17" s="10"/>
      <c r="L17" s="10"/>
      <c r="M17" s="9"/>
      <c r="N17" s="9"/>
      <c r="O17" s="9"/>
      <c r="P17"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7" s="9"/>
      <c r="R17" s="9"/>
      <c r="S17" s="38"/>
      <c r="T17" s="38"/>
      <c r="U17" s="38"/>
      <c r="V17" s="38"/>
      <c r="W17" s="38"/>
      <c r="X17" s="67" t="str">
        <f>IF(COUNTA(SalCommune[[#This Row],[N°]:[heures annuelles
selon contrat(s)]])=0,"",SalCommune[[#This Row],[Brut]]+SalCommune[[#This Row],[Autres Primes]]+SalCommune[[#This Row],[Part patronale]]-ABS(SalCommune[[#This Row],[Remboursement Mutualité]])-ABS(SalCommune[[#This Row],[Remboursement
Autres]]))</f>
        <v/>
      </c>
      <c r="Y17" s="38"/>
      <c r="Z17"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7" s="8"/>
      <c r="AB17" s="64"/>
      <c r="AC17"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7"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7" s="505"/>
      <c r="AF17" s="187"/>
      <c r="AG17" s="200" t="str">
        <f>IF(COUNTA(SalCommune[[#This Row],[N°]:[heures annuelles
selon contrat(s)]])=0,"",REVEX!$E$9)</f>
        <v/>
      </c>
      <c r="AH17" s="73" t="str">
        <f>IF(SalCommune[[#This Row],[Allocations fonctions]]="","",IF(ISNA(VLOOKUP(SalCommune[[#This Row],[Allocations fonctions]],DROPDOWN[Dropdown82],1,FALSE))=TRUE,"&lt;-- Veuillez choisir l'allocation parmis la liste déroulante.",""))</f>
        <v/>
      </c>
    </row>
    <row r="18" spans="1:34" x14ac:dyDescent="0.25">
      <c r="A18" s="73" t="str">
        <f>IF(SalCommune[[#This Row],[Statut]]="","",IF(ISNA(VLOOKUP(SalCommune[[#This Row],[Statut]],'Grille communale'!$B$3:$B$5,1,FALSE))=TRUE,"Veuillez choisir le statut parmis la liste déroulante",""))</f>
        <v/>
      </c>
      <c r="B18" s="8"/>
      <c r="C18" s="8"/>
      <c r="D18" s="8"/>
      <c r="E18" s="21"/>
      <c r="F18" s="8"/>
      <c r="G18" s="8"/>
      <c r="H18" s="9"/>
      <c r="I18" s="9"/>
      <c r="J18" s="9"/>
      <c r="K18" s="10"/>
      <c r="L18" s="10"/>
      <c r="M18" s="9"/>
      <c r="N18" s="9"/>
      <c r="O18" s="9"/>
      <c r="P18"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8" s="9"/>
      <c r="R18" s="9"/>
      <c r="S18" s="38"/>
      <c r="T18" s="38"/>
      <c r="U18" s="38"/>
      <c r="V18" s="38"/>
      <c r="W18" s="38"/>
      <c r="X18" s="67" t="str">
        <f>IF(COUNTA(SalCommune[[#This Row],[N°]:[heures annuelles
selon contrat(s)]])=0,"",SalCommune[[#This Row],[Brut]]+SalCommune[[#This Row],[Autres Primes]]+SalCommune[[#This Row],[Part patronale]]-ABS(SalCommune[[#This Row],[Remboursement Mutualité]])-ABS(SalCommune[[#This Row],[Remboursement
Autres]]))</f>
        <v/>
      </c>
      <c r="Y18" s="38"/>
      <c r="Z18"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8" s="8"/>
      <c r="AB18" s="64"/>
      <c r="AC18"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8"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8" s="505"/>
      <c r="AF18" s="187"/>
      <c r="AG18" s="200" t="str">
        <f>IF(COUNTA(SalCommune[[#This Row],[N°]:[heures annuelles
selon contrat(s)]])=0,"",REVEX!$E$9)</f>
        <v/>
      </c>
      <c r="AH18" s="73" t="str">
        <f>IF(SalCommune[[#This Row],[Allocations fonctions]]="","",IF(ISNA(VLOOKUP(SalCommune[[#This Row],[Allocations fonctions]],DROPDOWN[Dropdown82],1,FALSE))=TRUE,"&lt;-- Veuillez choisir l'allocation parmis la liste déroulante.",""))</f>
        <v/>
      </c>
    </row>
    <row r="19" spans="1:34" x14ac:dyDescent="0.25">
      <c r="A19" s="73" t="str">
        <f>IF(SalCommune[[#This Row],[Statut]]="","",IF(ISNA(VLOOKUP(SalCommune[[#This Row],[Statut]],'Grille communale'!$B$3:$B$5,1,FALSE))=TRUE,"Veuillez choisir le statut parmis la liste déroulante",""))</f>
        <v/>
      </c>
      <c r="B19" s="8"/>
      <c r="C19" s="8"/>
      <c r="D19" s="8"/>
      <c r="E19" s="21"/>
      <c r="F19" s="8"/>
      <c r="G19" s="8"/>
      <c r="H19" s="9"/>
      <c r="I19" s="9"/>
      <c r="J19" s="9"/>
      <c r="K19" s="10"/>
      <c r="L19" s="10"/>
      <c r="M19" s="9"/>
      <c r="N19" s="9"/>
      <c r="O19" s="9"/>
      <c r="P19"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9" s="9"/>
      <c r="R19" s="9"/>
      <c r="S19" s="38"/>
      <c r="T19" s="38"/>
      <c r="U19" s="38"/>
      <c r="V19" s="38"/>
      <c r="W19" s="38"/>
      <c r="X19" s="67" t="str">
        <f>IF(COUNTA(SalCommune[[#This Row],[N°]:[heures annuelles
selon contrat(s)]])=0,"",SalCommune[[#This Row],[Brut]]+SalCommune[[#This Row],[Autres Primes]]+SalCommune[[#This Row],[Part patronale]]-ABS(SalCommune[[#This Row],[Remboursement Mutualité]])-ABS(SalCommune[[#This Row],[Remboursement
Autres]]))</f>
        <v/>
      </c>
      <c r="Y19" s="38"/>
      <c r="Z19"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9" s="8"/>
      <c r="AB19" s="64"/>
      <c r="AC19"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9"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9" s="505"/>
      <c r="AF19" s="187"/>
      <c r="AG19" s="200" t="str">
        <f>IF(COUNTA(SalCommune[[#This Row],[N°]:[heures annuelles
selon contrat(s)]])=0,"",REVEX!$E$9)</f>
        <v/>
      </c>
      <c r="AH19" s="73" t="str">
        <f>IF(SalCommune[[#This Row],[Allocations fonctions]]="","",IF(ISNA(VLOOKUP(SalCommune[[#This Row],[Allocations fonctions]],DROPDOWN[Dropdown82],1,FALSE))=TRUE,"&lt;-- Veuillez choisir l'allocation parmis la liste déroulante.",""))</f>
        <v/>
      </c>
    </row>
    <row r="20" spans="1:34" x14ac:dyDescent="0.25">
      <c r="A20" s="73" t="str">
        <f>IF(SalCommune[[#This Row],[Statut]]="","",IF(ISNA(VLOOKUP(SalCommune[[#This Row],[Statut]],'Grille communale'!$B$3:$B$5,1,FALSE))=TRUE,"Veuillez choisir le statut parmis la liste déroulante",""))</f>
        <v/>
      </c>
      <c r="B20" s="8"/>
      <c r="C20" s="8"/>
      <c r="D20" s="8"/>
      <c r="E20" s="21"/>
      <c r="F20" s="8"/>
      <c r="G20" s="8"/>
      <c r="H20" s="9"/>
      <c r="I20" s="9"/>
      <c r="J20" s="9"/>
      <c r="K20" s="10"/>
      <c r="L20" s="10"/>
      <c r="M20" s="9"/>
      <c r="N20" s="9"/>
      <c r="O20" s="9"/>
      <c r="P20"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0" s="9"/>
      <c r="R20" s="9"/>
      <c r="S20" s="38"/>
      <c r="T20" s="38"/>
      <c r="U20" s="38"/>
      <c r="V20" s="38"/>
      <c r="W20" s="38"/>
      <c r="X20" s="67" t="str">
        <f>IF(COUNTA(SalCommune[[#This Row],[N°]:[heures annuelles
selon contrat(s)]])=0,"",SalCommune[[#This Row],[Brut]]+SalCommune[[#This Row],[Autres Primes]]+SalCommune[[#This Row],[Part patronale]]-ABS(SalCommune[[#This Row],[Remboursement Mutualité]])-ABS(SalCommune[[#This Row],[Remboursement
Autres]]))</f>
        <v/>
      </c>
      <c r="Y20" s="38"/>
      <c r="Z20"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0" s="8"/>
      <c r="AB20" s="64"/>
      <c r="AC20"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0"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0" s="505"/>
      <c r="AF20" s="187"/>
      <c r="AG20" s="200" t="str">
        <f>IF(COUNTA(SalCommune[[#This Row],[N°]:[heures annuelles
selon contrat(s)]])=0,"",REVEX!$E$9)</f>
        <v/>
      </c>
      <c r="AH20" s="73" t="str">
        <f>IF(SalCommune[[#This Row],[Allocations fonctions]]="","",IF(ISNA(VLOOKUP(SalCommune[[#This Row],[Allocations fonctions]],DROPDOWN[Dropdown82],1,FALSE))=TRUE,"&lt;-- Veuillez choisir l'allocation parmis la liste déroulante.",""))</f>
        <v/>
      </c>
    </row>
    <row r="21" spans="1:34" x14ac:dyDescent="0.25">
      <c r="A21" s="73" t="str">
        <f>IF(SalCommune[[#This Row],[Statut]]="","",IF(ISNA(VLOOKUP(SalCommune[[#This Row],[Statut]],'Grille communale'!$B$3:$B$5,1,FALSE))=TRUE,"Veuillez choisir le statut parmis la liste déroulante",""))</f>
        <v/>
      </c>
      <c r="B21" s="8"/>
      <c r="C21" s="8"/>
      <c r="D21" s="8"/>
      <c r="E21" s="21"/>
      <c r="F21" s="8"/>
      <c r="G21" s="8"/>
      <c r="H21" s="9"/>
      <c r="I21" s="9"/>
      <c r="J21" s="9"/>
      <c r="K21" s="10"/>
      <c r="L21" s="10"/>
      <c r="M21" s="9"/>
      <c r="N21" s="9"/>
      <c r="O21" s="9"/>
      <c r="P21"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1" s="9"/>
      <c r="R21" s="9"/>
      <c r="S21" s="38"/>
      <c r="T21" s="38"/>
      <c r="U21" s="38"/>
      <c r="V21" s="38"/>
      <c r="W21" s="38"/>
      <c r="X21" s="67" t="str">
        <f>IF(COUNTA(SalCommune[[#This Row],[N°]:[heures annuelles
selon contrat(s)]])=0,"",SalCommune[[#This Row],[Brut]]+SalCommune[[#This Row],[Autres Primes]]+SalCommune[[#This Row],[Part patronale]]-ABS(SalCommune[[#This Row],[Remboursement Mutualité]])-ABS(SalCommune[[#This Row],[Remboursement
Autres]]))</f>
        <v/>
      </c>
      <c r="Y21" s="38"/>
      <c r="Z21"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1" s="8"/>
      <c r="AB21" s="64"/>
      <c r="AC21"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1"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1" s="505"/>
      <c r="AF21" s="187"/>
      <c r="AG21" s="200" t="str">
        <f>IF(COUNTA(SalCommune[[#This Row],[N°]:[heures annuelles
selon contrat(s)]])=0,"",REVEX!$E$9)</f>
        <v/>
      </c>
      <c r="AH21" s="73" t="str">
        <f>IF(SalCommune[[#This Row],[Allocations fonctions]]="","",IF(ISNA(VLOOKUP(SalCommune[[#This Row],[Allocations fonctions]],DROPDOWN[Dropdown82],1,FALSE))=TRUE,"&lt;-- Veuillez choisir l'allocation parmis la liste déroulante.",""))</f>
        <v/>
      </c>
    </row>
    <row r="22" spans="1:34" x14ac:dyDescent="0.25">
      <c r="A22" s="73" t="str">
        <f>IF(SalCommune[[#This Row],[Statut]]="","",IF(ISNA(VLOOKUP(SalCommune[[#This Row],[Statut]],'Grille communale'!$B$3:$B$5,1,FALSE))=TRUE,"Veuillez choisir le statut parmis la liste déroulante",""))</f>
        <v/>
      </c>
      <c r="B22" s="8"/>
      <c r="C22" s="8"/>
      <c r="D22" s="8"/>
      <c r="E22" s="21"/>
      <c r="F22" s="8"/>
      <c r="G22" s="8"/>
      <c r="H22" s="9"/>
      <c r="I22" s="9"/>
      <c r="J22" s="9"/>
      <c r="K22" s="10"/>
      <c r="L22" s="10"/>
      <c r="M22" s="9"/>
      <c r="N22" s="9"/>
      <c r="O22" s="9"/>
      <c r="P22"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2" s="9"/>
      <c r="R22" s="9"/>
      <c r="S22" s="38"/>
      <c r="T22" s="38"/>
      <c r="U22" s="38"/>
      <c r="V22" s="38"/>
      <c r="W22" s="38"/>
      <c r="X22" s="67" t="str">
        <f>IF(COUNTA(SalCommune[[#This Row],[N°]:[heures annuelles
selon contrat(s)]])=0,"",SalCommune[[#This Row],[Brut]]+SalCommune[[#This Row],[Autres Primes]]+SalCommune[[#This Row],[Part patronale]]-ABS(SalCommune[[#This Row],[Remboursement Mutualité]])-ABS(SalCommune[[#This Row],[Remboursement
Autres]]))</f>
        <v/>
      </c>
      <c r="Y22" s="38"/>
      <c r="Z22"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2" s="8"/>
      <c r="AB22" s="64"/>
      <c r="AC22"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2"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2" s="505"/>
      <c r="AF22" s="187"/>
      <c r="AG22" s="200" t="str">
        <f>IF(COUNTA(SalCommune[[#This Row],[N°]:[heures annuelles
selon contrat(s)]])=0,"",REVEX!$E$9)</f>
        <v/>
      </c>
      <c r="AH22" s="73" t="str">
        <f>IF(SalCommune[[#This Row],[Allocations fonctions]]="","",IF(ISNA(VLOOKUP(SalCommune[[#This Row],[Allocations fonctions]],DROPDOWN[Dropdown82],1,FALSE))=TRUE,"&lt;-- Veuillez choisir l'allocation parmis la liste déroulante.",""))</f>
        <v/>
      </c>
    </row>
    <row r="23" spans="1:34" x14ac:dyDescent="0.25">
      <c r="A23" s="73" t="str">
        <f>IF(SalCommune[[#This Row],[Statut]]="","",IF(ISNA(VLOOKUP(SalCommune[[#This Row],[Statut]],'Grille communale'!$B$3:$B$5,1,FALSE))=TRUE,"Veuillez choisir le statut parmis la liste déroulante",""))</f>
        <v/>
      </c>
      <c r="B23" s="8"/>
      <c r="C23" s="8"/>
      <c r="D23" s="8"/>
      <c r="E23" s="21"/>
      <c r="F23" s="8"/>
      <c r="G23" s="8"/>
      <c r="H23" s="9"/>
      <c r="I23" s="9"/>
      <c r="J23" s="9"/>
      <c r="K23" s="10"/>
      <c r="L23" s="10"/>
      <c r="M23" s="9"/>
      <c r="N23" s="9"/>
      <c r="O23" s="9"/>
      <c r="P23"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3" s="9"/>
      <c r="R23" s="9"/>
      <c r="S23" s="38"/>
      <c r="T23" s="38"/>
      <c r="U23" s="38"/>
      <c r="V23" s="38"/>
      <c r="W23" s="38"/>
      <c r="X23" s="67" t="str">
        <f>IF(COUNTA(SalCommune[[#This Row],[N°]:[heures annuelles
selon contrat(s)]])=0,"",SalCommune[[#This Row],[Brut]]+SalCommune[[#This Row],[Autres Primes]]+SalCommune[[#This Row],[Part patronale]]-ABS(SalCommune[[#This Row],[Remboursement Mutualité]])-ABS(SalCommune[[#This Row],[Remboursement
Autres]]))</f>
        <v/>
      </c>
      <c r="Y23" s="38"/>
      <c r="Z23"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3" s="8"/>
      <c r="AB23" s="64"/>
      <c r="AC23"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3"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3" s="505"/>
      <c r="AF23" s="187"/>
      <c r="AG23" s="200" t="str">
        <f>IF(COUNTA(SalCommune[[#This Row],[N°]:[heures annuelles
selon contrat(s)]])=0,"",REVEX!$E$9)</f>
        <v/>
      </c>
      <c r="AH23" s="73" t="str">
        <f>IF(SalCommune[[#This Row],[Allocations fonctions]]="","",IF(ISNA(VLOOKUP(SalCommune[[#This Row],[Allocations fonctions]],DROPDOWN[Dropdown82],1,FALSE))=TRUE,"&lt;-- Veuillez choisir l'allocation parmis la liste déroulante.",""))</f>
        <v/>
      </c>
    </row>
    <row r="24" spans="1:34" x14ac:dyDescent="0.25">
      <c r="A24" s="73" t="str">
        <f>IF(SalCommune[[#This Row],[Statut]]="","",IF(ISNA(VLOOKUP(SalCommune[[#This Row],[Statut]],'Grille communale'!$B$3:$B$5,1,FALSE))=TRUE,"Veuillez choisir le statut parmis la liste déroulante",""))</f>
        <v/>
      </c>
      <c r="B24" s="8"/>
      <c r="C24" s="8"/>
      <c r="D24" s="8"/>
      <c r="E24" s="21"/>
      <c r="F24" s="8"/>
      <c r="G24" s="8"/>
      <c r="H24" s="9"/>
      <c r="I24" s="9"/>
      <c r="J24" s="9"/>
      <c r="K24" s="10"/>
      <c r="L24" s="10"/>
      <c r="M24" s="9"/>
      <c r="N24" s="9"/>
      <c r="O24" s="9"/>
      <c r="P24"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4" s="9"/>
      <c r="R24" s="9"/>
      <c r="S24" s="38"/>
      <c r="T24" s="38"/>
      <c r="U24" s="38"/>
      <c r="V24" s="38"/>
      <c r="W24" s="38"/>
      <c r="X24" s="67" t="str">
        <f>IF(COUNTA(SalCommune[[#This Row],[N°]:[heures annuelles
selon contrat(s)]])=0,"",SalCommune[[#This Row],[Brut]]+SalCommune[[#This Row],[Autres Primes]]+SalCommune[[#This Row],[Part patronale]]-ABS(SalCommune[[#This Row],[Remboursement Mutualité]])-ABS(SalCommune[[#This Row],[Remboursement
Autres]]))</f>
        <v/>
      </c>
      <c r="Y24" s="38"/>
      <c r="Z24"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4" s="8"/>
      <c r="AB24" s="64"/>
      <c r="AC24"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4"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4" s="505"/>
      <c r="AF24" s="187"/>
      <c r="AG24" s="200" t="str">
        <f>IF(COUNTA(SalCommune[[#This Row],[N°]:[heures annuelles
selon contrat(s)]])=0,"",REVEX!$E$9)</f>
        <v/>
      </c>
      <c r="AH24" s="73" t="str">
        <f>IF(SalCommune[[#This Row],[Allocations fonctions]]="","",IF(ISNA(VLOOKUP(SalCommune[[#This Row],[Allocations fonctions]],DROPDOWN[Dropdown82],1,FALSE))=TRUE,"&lt;-- Veuillez choisir l'allocation parmis la liste déroulante.",""))</f>
        <v/>
      </c>
    </row>
    <row r="25" spans="1:34" x14ac:dyDescent="0.25">
      <c r="A25" s="73" t="str">
        <f>IF(SalCommune[[#This Row],[Statut]]="","",IF(ISNA(VLOOKUP(SalCommune[[#This Row],[Statut]],'Grille communale'!$B$3:$B$5,1,FALSE))=TRUE,"Veuillez choisir le statut parmis la liste déroulante",""))</f>
        <v/>
      </c>
      <c r="B25" s="8"/>
      <c r="C25" s="8"/>
      <c r="D25" s="8"/>
      <c r="E25" s="21"/>
      <c r="F25" s="8"/>
      <c r="G25" s="8"/>
      <c r="H25" s="9"/>
      <c r="I25" s="9"/>
      <c r="J25" s="9"/>
      <c r="K25" s="10"/>
      <c r="L25" s="10"/>
      <c r="M25" s="9"/>
      <c r="N25" s="9"/>
      <c r="O25" s="9"/>
      <c r="P25"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5" s="9"/>
      <c r="R25" s="9"/>
      <c r="S25" s="38"/>
      <c r="T25" s="38"/>
      <c r="U25" s="38"/>
      <c r="V25" s="38"/>
      <c r="W25" s="38"/>
      <c r="X25" s="67" t="str">
        <f>IF(COUNTA(SalCommune[[#This Row],[N°]:[heures annuelles
selon contrat(s)]])=0,"",SalCommune[[#This Row],[Brut]]+SalCommune[[#This Row],[Autres Primes]]+SalCommune[[#This Row],[Part patronale]]-ABS(SalCommune[[#This Row],[Remboursement Mutualité]])-ABS(SalCommune[[#This Row],[Remboursement
Autres]]))</f>
        <v/>
      </c>
      <c r="Y25" s="38"/>
      <c r="Z25"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5" s="8"/>
      <c r="AB25" s="64"/>
      <c r="AC25"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5"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5" s="505"/>
      <c r="AF25" s="187"/>
      <c r="AG25" s="200" t="str">
        <f>IF(COUNTA(SalCommune[[#This Row],[N°]:[heures annuelles
selon contrat(s)]])=0,"",REVEX!$E$9)</f>
        <v/>
      </c>
      <c r="AH25" s="73" t="str">
        <f>IF(SalCommune[[#This Row],[Allocations fonctions]]="","",IF(ISNA(VLOOKUP(SalCommune[[#This Row],[Allocations fonctions]],DROPDOWN[Dropdown82],1,FALSE))=TRUE,"&lt;-- Veuillez choisir l'allocation parmis la liste déroulante.",""))</f>
        <v/>
      </c>
    </row>
    <row r="26" spans="1:34" x14ac:dyDescent="0.25">
      <c r="A26" s="73" t="str">
        <f>IF(SalCommune[[#This Row],[Statut]]="","",IF(ISNA(VLOOKUP(SalCommune[[#This Row],[Statut]],'Grille communale'!$B$3:$B$5,1,FALSE))=TRUE,"Veuillez choisir le statut parmis la liste déroulante",""))</f>
        <v/>
      </c>
      <c r="B26" s="8"/>
      <c r="C26" s="8"/>
      <c r="D26" s="8"/>
      <c r="E26" s="21"/>
      <c r="F26" s="8"/>
      <c r="G26" s="8"/>
      <c r="H26" s="9"/>
      <c r="I26" s="9"/>
      <c r="J26" s="9"/>
      <c r="K26" s="10"/>
      <c r="L26" s="10"/>
      <c r="M26" s="9"/>
      <c r="N26" s="9"/>
      <c r="O26" s="9"/>
      <c r="P26"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6" s="9"/>
      <c r="R26" s="9"/>
      <c r="S26" s="38"/>
      <c r="T26" s="38"/>
      <c r="U26" s="38"/>
      <c r="V26" s="38"/>
      <c r="W26" s="38"/>
      <c r="X26" s="67" t="str">
        <f>IF(COUNTA(SalCommune[[#This Row],[N°]:[heures annuelles
selon contrat(s)]])=0,"",SalCommune[[#This Row],[Brut]]+SalCommune[[#This Row],[Autres Primes]]+SalCommune[[#This Row],[Part patronale]]-ABS(SalCommune[[#This Row],[Remboursement Mutualité]])-ABS(SalCommune[[#This Row],[Remboursement
Autres]]))</f>
        <v/>
      </c>
      <c r="Y26" s="38"/>
      <c r="Z26"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6" s="8"/>
      <c r="AB26" s="64"/>
      <c r="AC26"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6"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6" s="505"/>
      <c r="AF26" s="187"/>
      <c r="AG26" s="200" t="str">
        <f>IF(COUNTA(SalCommune[[#This Row],[N°]:[heures annuelles
selon contrat(s)]])=0,"",REVEX!$E$9)</f>
        <v/>
      </c>
      <c r="AH26" s="73" t="str">
        <f>IF(SalCommune[[#This Row],[Allocations fonctions]]="","",IF(ISNA(VLOOKUP(SalCommune[[#This Row],[Allocations fonctions]],DROPDOWN[Dropdown82],1,FALSE))=TRUE,"&lt;-- Veuillez choisir l'allocation parmis la liste déroulante.",""))</f>
        <v/>
      </c>
    </row>
    <row r="27" spans="1:34" x14ac:dyDescent="0.25">
      <c r="A27" s="73" t="str">
        <f>IF(SalCommune[[#This Row],[Statut]]="","",IF(ISNA(VLOOKUP(SalCommune[[#This Row],[Statut]],'Grille communale'!$B$3:$B$5,1,FALSE))=TRUE,"Veuillez choisir le statut parmis la liste déroulante",""))</f>
        <v/>
      </c>
      <c r="B27" s="8"/>
      <c r="C27" s="8"/>
      <c r="D27" s="8"/>
      <c r="E27" s="21"/>
      <c r="F27" s="8"/>
      <c r="G27" s="8"/>
      <c r="H27" s="9"/>
      <c r="I27" s="9"/>
      <c r="J27" s="9"/>
      <c r="K27" s="10"/>
      <c r="L27" s="10"/>
      <c r="M27" s="9"/>
      <c r="N27" s="9"/>
      <c r="O27" s="9"/>
      <c r="P27"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7" s="9"/>
      <c r="R27" s="9"/>
      <c r="S27" s="38"/>
      <c r="T27" s="38"/>
      <c r="U27" s="38"/>
      <c r="V27" s="38"/>
      <c r="W27" s="38"/>
      <c r="X27" s="67" t="str">
        <f>IF(COUNTA(SalCommune[[#This Row],[N°]:[heures annuelles
selon contrat(s)]])=0,"",SalCommune[[#This Row],[Brut]]+SalCommune[[#This Row],[Autres Primes]]+SalCommune[[#This Row],[Part patronale]]-ABS(SalCommune[[#This Row],[Remboursement Mutualité]])-ABS(SalCommune[[#This Row],[Remboursement
Autres]]))</f>
        <v/>
      </c>
      <c r="Y27" s="38"/>
      <c r="Z27"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7" s="8"/>
      <c r="AB27" s="64"/>
      <c r="AC27"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7"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7" s="505"/>
      <c r="AF27" s="187"/>
      <c r="AG27" s="200" t="str">
        <f>IF(COUNTA(SalCommune[[#This Row],[N°]:[heures annuelles
selon contrat(s)]])=0,"",REVEX!$E$9)</f>
        <v/>
      </c>
      <c r="AH27" s="73" t="str">
        <f>IF(SalCommune[[#This Row],[Allocations fonctions]]="","",IF(ISNA(VLOOKUP(SalCommune[[#This Row],[Allocations fonctions]],DROPDOWN[Dropdown82],1,FALSE))=TRUE,"&lt;-- Veuillez choisir l'allocation parmis la liste déroulante.",""))</f>
        <v/>
      </c>
    </row>
    <row r="28" spans="1:34" x14ac:dyDescent="0.25">
      <c r="A28" s="73" t="str">
        <f>IF(SalCommune[[#This Row],[Statut]]="","",IF(ISNA(VLOOKUP(SalCommune[[#This Row],[Statut]],'Grille communale'!$B$3:$B$5,1,FALSE))=TRUE,"Veuillez choisir le statut parmis la liste déroulante",""))</f>
        <v/>
      </c>
      <c r="B28" s="8"/>
      <c r="C28" s="8"/>
      <c r="D28" s="8"/>
      <c r="E28" s="21"/>
      <c r="F28" s="8"/>
      <c r="G28" s="8"/>
      <c r="H28" s="9"/>
      <c r="I28" s="9"/>
      <c r="J28" s="9"/>
      <c r="K28" s="10"/>
      <c r="L28" s="10"/>
      <c r="M28" s="9"/>
      <c r="N28" s="9"/>
      <c r="O28" s="9"/>
      <c r="P28"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8" s="9"/>
      <c r="R28" s="9"/>
      <c r="S28" s="38"/>
      <c r="T28" s="38"/>
      <c r="U28" s="38"/>
      <c r="V28" s="38"/>
      <c r="W28" s="38"/>
      <c r="X28" s="67" t="str">
        <f>IF(COUNTA(SalCommune[[#This Row],[N°]:[heures annuelles
selon contrat(s)]])=0,"",SalCommune[[#This Row],[Brut]]+SalCommune[[#This Row],[Autres Primes]]+SalCommune[[#This Row],[Part patronale]]-ABS(SalCommune[[#This Row],[Remboursement Mutualité]])-ABS(SalCommune[[#This Row],[Remboursement
Autres]]))</f>
        <v/>
      </c>
      <c r="Y28" s="38"/>
      <c r="Z28"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8" s="8"/>
      <c r="AB28" s="64"/>
      <c r="AC28"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8"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8" s="505"/>
      <c r="AF28" s="187"/>
      <c r="AG28" s="200" t="str">
        <f>IF(COUNTA(SalCommune[[#This Row],[N°]:[heures annuelles
selon contrat(s)]])=0,"",REVEX!$E$9)</f>
        <v/>
      </c>
      <c r="AH28" s="73" t="str">
        <f>IF(SalCommune[[#This Row],[Allocations fonctions]]="","",IF(ISNA(VLOOKUP(SalCommune[[#This Row],[Allocations fonctions]],DROPDOWN[Dropdown82],1,FALSE))=TRUE,"&lt;-- Veuillez choisir l'allocation parmis la liste déroulante.",""))</f>
        <v/>
      </c>
    </row>
    <row r="29" spans="1:34" x14ac:dyDescent="0.25">
      <c r="A29" s="73" t="str">
        <f>IF(SalCommune[[#This Row],[Statut]]="","",IF(ISNA(VLOOKUP(SalCommune[[#This Row],[Statut]],'Grille communale'!$B$3:$B$5,1,FALSE))=TRUE,"Veuillez choisir le statut parmis la liste déroulante",""))</f>
        <v/>
      </c>
      <c r="B29" s="8"/>
      <c r="C29" s="8"/>
      <c r="D29" s="8"/>
      <c r="E29" s="21"/>
      <c r="F29" s="8"/>
      <c r="G29" s="8"/>
      <c r="H29" s="9"/>
      <c r="I29" s="9"/>
      <c r="J29" s="9"/>
      <c r="K29" s="10"/>
      <c r="L29" s="10"/>
      <c r="M29" s="9"/>
      <c r="N29" s="9"/>
      <c r="O29" s="9"/>
      <c r="P29"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9" s="9"/>
      <c r="R29" s="9"/>
      <c r="S29" s="38"/>
      <c r="T29" s="38"/>
      <c r="U29" s="38"/>
      <c r="V29" s="38"/>
      <c r="W29" s="38"/>
      <c r="X29" s="67" t="str">
        <f>IF(COUNTA(SalCommune[[#This Row],[N°]:[heures annuelles
selon contrat(s)]])=0,"",SalCommune[[#This Row],[Brut]]+SalCommune[[#This Row],[Autres Primes]]+SalCommune[[#This Row],[Part patronale]]-ABS(SalCommune[[#This Row],[Remboursement Mutualité]])-ABS(SalCommune[[#This Row],[Remboursement
Autres]]))</f>
        <v/>
      </c>
      <c r="Y29" s="38"/>
      <c r="Z29"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9" s="8"/>
      <c r="AB29" s="64"/>
      <c r="AC29"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9"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9" s="505"/>
      <c r="AF29" s="187"/>
      <c r="AG29" s="200" t="str">
        <f>IF(COUNTA(SalCommune[[#This Row],[N°]:[heures annuelles
selon contrat(s)]])=0,"",REVEX!$E$9)</f>
        <v/>
      </c>
      <c r="AH29" s="73" t="str">
        <f>IF(SalCommune[[#This Row],[Allocations fonctions]]="","",IF(ISNA(VLOOKUP(SalCommune[[#This Row],[Allocations fonctions]],DROPDOWN[Dropdown82],1,FALSE))=TRUE,"&lt;-- Veuillez choisir l'allocation parmis la liste déroulante.",""))</f>
        <v/>
      </c>
    </row>
    <row r="30" spans="1:34" x14ac:dyDescent="0.25">
      <c r="A30" s="73" t="str">
        <f>IF(SalCommune[[#This Row],[Statut]]="","",IF(ISNA(VLOOKUP(SalCommune[[#This Row],[Statut]],'Grille communale'!$B$3:$B$5,1,FALSE))=TRUE,"Veuillez choisir le statut parmis la liste déroulante",""))</f>
        <v/>
      </c>
      <c r="B30" s="8"/>
      <c r="C30" s="8"/>
      <c r="D30" s="8"/>
      <c r="E30" s="21"/>
      <c r="F30" s="8"/>
      <c r="G30" s="8"/>
      <c r="H30" s="9"/>
      <c r="I30" s="9"/>
      <c r="J30" s="9"/>
      <c r="K30" s="10"/>
      <c r="L30" s="10"/>
      <c r="M30" s="9"/>
      <c r="N30" s="9"/>
      <c r="O30" s="9"/>
      <c r="P30"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0" s="9"/>
      <c r="R30" s="9"/>
      <c r="S30" s="38"/>
      <c r="T30" s="38"/>
      <c r="U30" s="38"/>
      <c r="V30" s="38"/>
      <c r="W30" s="38"/>
      <c r="X30" s="67" t="str">
        <f>IF(COUNTA(SalCommune[[#This Row],[N°]:[heures annuelles
selon contrat(s)]])=0,"",SalCommune[[#This Row],[Brut]]+SalCommune[[#This Row],[Autres Primes]]+SalCommune[[#This Row],[Part patronale]]-ABS(SalCommune[[#This Row],[Remboursement Mutualité]])-ABS(SalCommune[[#This Row],[Remboursement
Autres]]))</f>
        <v/>
      </c>
      <c r="Y30" s="38"/>
      <c r="Z30"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0" s="8"/>
      <c r="AB30" s="64"/>
      <c r="AC30"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0"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0" s="505"/>
      <c r="AF30" s="187"/>
      <c r="AG30" s="200" t="str">
        <f>IF(COUNTA(SalCommune[[#This Row],[N°]:[heures annuelles
selon contrat(s)]])=0,"",REVEX!$E$9)</f>
        <v/>
      </c>
      <c r="AH30" s="73" t="str">
        <f>IF(SalCommune[[#This Row],[Allocations fonctions]]="","",IF(ISNA(VLOOKUP(SalCommune[[#This Row],[Allocations fonctions]],DROPDOWN[Dropdown82],1,FALSE))=TRUE,"&lt;-- Veuillez choisir l'allocation parmis la liste déroulante.",""))</f>
        <v/>
      </c>
    </row>
    <row r="31" spans="1:34" x14ac:dyDescent="0.25">
      <c r="A31" s="73" t="str">
        <f>IF(SalCommune[[#This Row],[Statut]]="","",IF(ISNA(VLOOKUP(SalCommune[[#This Row],[Statut]],'Grille communale'!$B$3:$B$5,1,FALSE))=TRUE,"Veuillez choisir le statut parmis la liste déroulante",""))</f>
        <v/>
      </c>
      <c r="B31" s="8"/>
      <c r="C31" s="8"/>
      <c r="D31" s="8"/>
      <c r="E31" s="21"/>
      <c r="F31" s="8"/>
      <c r="G31" s="8"/>
      <c r="H31" s="9"/>
      <c r="I31" s="9"/>
      <c r="J31" s="9"/>
      <c r="K31" s="10"/>
      <c r="L31" s="10"/>
      <c r="M31" s="9"/>
      <c r="N31" s="9"/>
      <c r="O31" s="9"/>
      <c r="P31"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1" s="9"/>
      <c r="R31" s="9"/>
      <c r="S31" s="38"/>
      <c r="T31" s="38"/>
      <c r="U31" s="38"/>
      <c r="V31" s="38"/>
      <c r="W31" s="38"/>
      <c r="X31" s="67" t="str">
        <f>IF(COUNTA(SalCommune[[#This Row],[N°]:[heures annuelles
selon contrat(s)]])=0,"",SalCommune[[#This Row],[Brut]]+SalCommune[[#This Row],[Autres Primes]]+SalCommune[[#This Row],[Part patronale]]-ABS(SalCommune[[#This Row],[Remboursement Mutualité]])-ABS(SalCommune[[#This Row],[Remboursement
Autres]]))</f>
        <v/>
      </c>
      <c r="Y31" s="38"/>
      <c r="Z31"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1" s="8"/>
      <c r="AB31" s="64"/>
      <c r="AC31"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1"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1" s="505"/>
      <c r="AF31" s="187"/>
      <c r="AG31" s="200" t="str">
        <f>IF(COUNTA(SalCommune[[#This Row],[N°]:[heures annuelles
selon contrat(s)]])=0,"",REVEX!$E$9)</f>
        <v/>
      </c>
      <c r="AH31" s="73" t="str">
        <f>IF(SalCommune[[#This Row],[Allocations fonctions]]="","",IF(ISNA(VLOOKUP(SalCommune[[#This Row],[Allocations fonctions]],DROPDOWN[Dropdown82],1,FALSE))=TRUE,"&lt;-- Veuillez choisir l'allocation parmis la liste déroulante.",""))</f>
        <v/>
      </c>
    </row>
    <row r="32" spans="1:34" x14ac:dyDescent="0.25">
      <c r="A32" s="73" t="str">
        <f>IF(SalCommune[[#This Row],[Statut]]="","",IF(ISNA(VLOOKUP(SalCommune[[#This Row],[Statut]],'Grille communale'!$B$3:$B$5,1,FALSE))=TRUE,"Veuillez choisir le statut parmis la liste déroulante",""))</f>
        <v/>
      </c>
      <c r="B32" s="8"/>
      <c r="C32" s="8"/>
      <c r="D32" s="8"/>
      <c r="E32" s="21"/>
      <c r="F32" s="8"/>
      <c r="G32" s="8"/>
      <c r="H32" s="9"/>
      <c r="I32" s="9"/>
      <c r="J32" s="9"/>
      <c r="K32" s="10"/>
      <c r="L32" s="10"/>
      <c r="M32" s="9"/>
      <c r="N32" s="9"/>
      <c r="O32" s="9"/>
      <c r="P32"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2" s="9"/>
      <c r="R32" s="9"/>
      <c r="S32" s="38"/>
      <c r="T32" s="38"/>
      <c r="U32" s="38"/>
      <c r="V32" s="38"/>
      <c r="W32" s="38"/>
      <c r="X32" s="67" t="str">
        <f>IF(COUNTA(SalCommune[[#This Row],[N°]:[heures annuelles
selon contrat(s)]])=0,"",SalCommune[[#This Row],[Brut]]+SalCommune[[#This Row],[Autres Primes]]+SalCommune[[#This Row],[Part patronale]]-ABS(SalCommune[[#This Row],[Remboursement Mutualité]])-ABS(SalCommune[[#This Row],[Remboursement
Autres]]))</f>
        <v/>
      </c>
      <c r="Y32" s="38"/>
      <c r="Z32"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2" s="8"/>
      <c r="AB32" s="64"/>
      <c r="AC32"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2"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2" s="505"/>
      <c r="AF32" s="187"/>
      <c r="AG32" s="200" t="str">
        <f>IF(COUNTA(SalCommune[[#This Row],[N°]:[heures annuelles
selon contrat(s)]])=0,"",REVEX!$E$9)</f>
        <v/>
      </c>
      <c r="AH32" s="73" t="str">
        <f>IF(SalCommune[[#This Row],[Allocations fonctions]]="","",IF(ISNA(VLOOKUP(SalCommune[[#This Row],[Allocations fonctions]],DROPDOWN[Dropdown82],1,FALSE))=TRUE,"&lt;-- Veuillez choisir l'allocation parmis la liste déroulante.",""))</f>
        <v/>
      </c>
    </row>
    <row r="33" spans="1:34" x14ac:dyDescent="0.25">
      <c r="A33" s="73" t="str">
        <f>IF(SalCommune[[#This Row],[Statut]]="","",IF(ISNA(VLOOKUP(SalCommune[[#This Row],[Statut]],'Grille communale'!$B$3:$B$5,1,FALSE))=TRUE,"Veuillez choisir le statut parmis la liste déroulante",""))</f>
        <v/>
      </c>
      <c r="B33" s="8"/>
      <c r="C33" s="8"/>
      <c r="D33" s="8"/>
      <c r="E33" s="21"/>
      <c r="F33" s="8"/>
      <c r="G33" s="8"/>
      <c r="H33" s="9"/>
      <c r="I33" s="9"/>
      <c r="J33" s="9"/>
      <c r="K33" s="10"/>
      <c r="L33" s="10"/>
      <c r="M33" s="9"/>
      <c r="N33" s="9"/>
      <c r="O33" s="9"/>
      <c r="P33"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3" s="9"/>
      <c r="R33" s="9"/>
      <c r="S33" s="38"/>
      <c r="T33" s="38"/>
      <c r="U33" s="38"/>
      <c r="V33" s="38"/>
      <c r="W33" s="38"/>
      <c r="X33" s="67" t="str">
        <f>IF(COUNTA(SalCommune[[#This Row],[N°]:[heures annuelles
selon contrat(s)]])=0,"",SalCommune[[#This Row],[Brut]]+SalCommune[[#This Row],[Autres Primes]]+SalCommune[[#This Row],[Part patronale]]-ABS(SalCommune[[#This Row],[Remboursement Mutualité]])-ABS(SalCommune[[#This Row],[Remboursement
Autres]]))</f>
        <v/>
      </c>
      <c r="Y33" s="38"/>
      <c r="Z33"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3" s="8"/>
      <c r="AB33" s="64"/>
      <c r="AC33"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3"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3" s="505"/>
      <c r="AF33" s="187"/>
      <c r="AG33" s="200" t="str">
        <f>IF(COUNTA(SalCommune[[#This Row],[N°]:[heures annuelles
selon contrat(s)]])=0,"",REVEX!$E$9)</f>
        <v/>
      </c>
      <c r="AH33" s="73" t="str">
        <f>IF(SalCommune[[#This Row],[Allocations fonctions]]="","",IF(ISNA(VLOOKUP(SalCommune[[#This Row],[Allocations fonctions]],DROPDOWN[Dropdown82],1,FALSE))=TRUE,"&lt;-- Veuillez choisir l'allocation parmis la liste déroulante.",""))</f>
        <v/>
      </c>
    </row>
    <row r="34" spans="1:34" x14ac:dyDescent="0.25">
      <c r="A34" s="73" t="str">
        <f>IF(SalCommune[[#This Row],[Statut]]="","",IF(ISNA(VLOOKUP(SalCommune[[#This Row],[Statut]],'Grille communale'!$B$3:$B$5,1,FALSE))=TRUE,"Veuillez choisir le statut parmis la liste déroulante",""))</f>
        <v/>
      </c>
      <c r="B34" s="8"/>
      <c r="C34" s="8"/>
      <c r="D34" s="8"/>
      <c r="E34" s="21"/>
      <c r="F34" s="8"/>
      <c r="G34" s="8"/>
      <c r="H34" s="9"/>
      <c r="I34" s="9"/>
      <c r="J34" s="9"/>
      <c r="K34" s="10"/>
      <c r="L34" s="10"/>
      <c r="M34" s="9"/>
      <c r="N34" s="9"/>
      <c r="O34" s="9"/>
      <c r="P34"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4" s="9"/>
      <c r="R34" s="9"/>
      <c r="S34" s="38"/>
      <c r="T34" s="38"/>
      <c r="U34" s="38"/>
      <c r="V34" s="38"/>
      <c r="W34" s="38"/>
      <c r="X34" s="67" t="str">
        <f>IF(COUNTA(SalCommune[[#This Row],[N°]:[heures annuelles
selon contrat(s)]])=0,"",SalCommune[[#This Row],[Brut]]+SalCommune[[#This Row],[Autres Primes]]+SalCommune[[#This Row],[Part patronale]]-ABS(SalCommune[[#This Row],[Remboursement Mutualité]])-ABS(SalCommune[[#This Row],[Remboursement
Autres]]))</f>
        <v/>
      </c>
      <c r="Y34" s="38"/>
      <c r="Z34"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4" s="8"/>
      <c r="AB34" s="64"/>
      <c r="AC34"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4"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4" s="505"/>
      <c r="AF34" s="187"/>
      <c r="AG34" s="200" t="str">
        <f>IF(COUNTA(SalCommune[[#This Row],[N°]:[heures annuelles
selon contrat(s)]])=0,"",REVEX!$E$9)</f>
        <v/>
      </c>
      <c r="AH34" s="73" t="str">
        <f>IF(SalCommune[[#This Row],[Allocations fonctions]]="","",IF(ISNA(VLOOKUP(SalCommune[[#This Row],[Allocations fonctions]],DROPDOWN[Dropdown82],1,FALSE))=TRUE,"&lt;-- Veuillez choisir l'allocation parmis la liste déroulante.",""))</f>
        <v/>
      </c>
    </row>
    <row r="35" spans="1:34" x14ac:dyDescent="0.25">
      <c r="A35" s="73" t="str">
        <f>IF(SalCommune[[#This Row],[Statut]]="","",IF(ISNA(VLOOKUP(SalCommune[[#This Row],[Statut]],'Grille communale'!$B$3:$B$5,1,FALSE))=TRUE,"Veuillez choisir le statut parmis la liste déroulante",""))</f>
        <v/>
      </c>
      <c r="B35" s="8"/>
      <c r="C35" s="8"/>
      <c r="D35" s="8"/>
      <c r="E35" s="21"/>
      <c r="F35" s="8"/>
      <c r="G35" s="8"/>
      <c r="H35" s="9"/>
      <c r="I35" s="9"/>
      <c r="J35" s="9"/>
      <c r="K35" s="10"/>
      <c r="L35" s="10"/>
      <c r="M35" s="9"/>
      <c r="N35" s="9"/>
      <c r="O35" s="9"/>
      <c r="P35"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5" s="9"/>
      <c r="R35" s="9"/>
      <c r="S35" s="38"/>
      <c r="T35" s="38"/>
      <c r="U35" s="38"/>
      <c r="V35" s="38"/>
      <c r="W35" s="38"/>
      <c r="X35" s="67" t="str">
        <f>IF(COUNTA(SalCommune[[#This Row],[N°]:[heures annuelles
selon contrat(s)]])=0,"",SalCommune[[#This Row],[Brut]]+SalCommune[[#This Row],[Autres Primes]]+SalCommune[[#This Row],[Part patronale]]-ABS(SalCommune[[#This Row],[Remboursement Mutualité]])-ABS(SalCommune[[#This Row],[Remboursement
Autres]]))</f>
        <v/>
      </c>
      <c r="Y35" s="38"/>
      <c r="Z35"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5" s="8"/>
      <c r="AB35" s="64"/>
      <c r="AC35"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5"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5" s="505"/>
      <c r="AF35" s="187"/>
      <c r="AG35" s="200" t="str">
        <f>IF(COUNTA(SalCommune[[#This Row],[N°]:[heures annuelles
selon contrat(s)]])=0,"",REVEX!$E$9)</f>
        <v/>
      </c>
      <c r="AH35" s="73" t="str">
        <f>IF(SalCommune[[#This Row],[Allocations fonctions]]="","",IF(ISNA(VLOOKUP(SalCommune[[#This Row],[Allocations fonctions]],DROPDOWN[Dropdown82],1,FALSE))=TRUE,"&lt;-- Veuillez choisir l'allocation parmis la liste déroulante.",""))</f>
        <v/>
      </c>
    </row>
    <row r="36" spans="1:34" x14ac:dyDescent="0.25">
      <c r="A36" s="73" t="str">
        <f>IF(SalCommune[[#This Row],[Statut]]="","",IF(ISNA(VLOOKUP(SalCommune[[#This Row],[Statut]],'Grille communale'!$B$3:$B$5,1,FALSE))=TRUE,"Veuillez choisir le statut parmis la liste déroulante",""))</f>
        <v/>
      </c>
      <c r="B36" s="8"/>
      <c r="C36" s="8"/>
      <c r="D36" s="8"/>
      <c r="E36" s="21"/>
      <c r="F36" s="8"/>
      <c r="G36" s="8"/>
      <c r="H36" s="9"/>
      <c r="I36" s="9"/>
      <c r="J36" s="9"/>
      <c r="K36" s="10"/>
      <c r="L36" s="10"/>
      <c r="M36" s="9"/>
      <c r="N36" s="9"/>
      <c r="O36" s="9"/>
      <c r="P36"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6" s="9"/>
      <c r="R36" s="9"/>
      <c r="S36" s="38"/>
      <c r="T36" s="38"/>
      <c r="U36" s="38"/>
      <c r="V36" s="38"/>
      <c r="W36" s="38"/>
      <c r="X36" s="67" t="str">
        <f>IF(COUNTA(SalCommune[[#This Row],[N°]:[heures annuelles
selon contrat(s)]])=0,"",SalCommune[[#This Row],[Brut]]+SalCommune[[#This Row],[Autres Primes]]+SalCommune[[#This Row],[Part patronale]]-ABS(SalCommune[[#This Row],[Remboursement Mutualité]])-ABS(SalCommune[[#This Row],[Remboursement
Autres]]))</f>
        <v/>
      </c>
      <c r="Y36" s="38"/>
      <c r="Z36"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6" s="8"/>
      <c r="AB36" s="64"/>
      <c r="AC36"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6"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6" s="505"/>
      <c r="AF36" s="187"/>
      <c r="AG36" s="200" t="str">
        <f>IF(COUNTA(SalCommune[[#This Row],[N°]:[heures annuelles
selon contrat(s)]])=0,"",REVEX!$E$9)</f>
        <v/>
      </c>
      <c r="AH36" s="73" t="str">
        <f>IF(SalCommune[[#This Row],[Allocations fonctions]]="","",IF(ISNA(VLOOKUP(SalCommune[[#This Row],[Allocations fonctions]],DROPDOWN[Dropdown82],1,FALSE))=TRUE,"&lt;-- Veuillez choisir l'allocation parmis la liste déroulante.",""))</f>
        <v/>
      </c>
    </row>
    <row r="37" spans="1:34" x14ac:dyDescent="0.25">
      <c r="A37" s="73" t="str">
        <f>IF(SalCommune[[#This Row],[Statut]]="","",IF(ISNA(VLOOKUP(SalCommune[[#This Row],[Statut]],'Grille communale'!$B$3:$B$5,1,FALSE))=TRUE,"Veuillez choisir le statut parmis la liste déroulante",""))</f>
        <v/>
      </c>
      <c r="B37" s="8"/>
      <c r="C37" s="8"/>
      <c r="D37" s="8"/>
      <c r="E37" s="21"/>
      <c r="F37" s="8"/>
      <c r="G37" s="8"/>
      <c r="H37" s="9"/>
      <c r="I37" s="9"/>
      <c r="J37" s="9"/>
      <c r="K37" s="10"/>
      <c r="L37" s="10"/>
      <c r="M37" s="9"/>
      <c r="N37" s="9"/>
      <c r="O37" s="9"/>
      <c r="P37"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7" s="9"/>
      <c r="R37" s="9"/>
      <c r="S37" s="38"/>
      <c r="T37" s="38"/>
      <c r="U37" s="38"/>
      <c r="V37" s="38"/>
      <c r="W37" s="38"/>
      <c r="X37" s="67" t="str">
        <f>IF(COUNTA(SalCommune[[#This Row],[N°]:[heures annuelles
selon contrat(s)]])=0,"",SalCommune[[#This Row],[Brut]]+SalCommune[[#This Row],[Autres Primes]]+SalCommune[[#This Row],[Part patronale]]-ABS(SalCommune[[#This Row],[Remboursement Mutualité]])-ABS(SalCommune[[#This Row],[Remboursement
Autres]]))</f>
        <v/>
      </c>
      <c r="Y37" s="38"/>
      <c r="Z37"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7" s="8"/>
      <c r="AB37" s="64"/>
      <c r="AC37"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7"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7" s="505"/>
      <c r="AF37" s="187"/>
      <c r="AG37" s="200" t="str">
        <f>IF(COUNTA(SalCommune[[#This Row],[N°]:[heures annuelles
selon contrat(s)]])=0,"",REVEX!$E$9)</f>
        <v/>
      </c>
      <c r="AH37" s="73" t="str">
        <f>IF(SalCommune[[#This Row],[Allocations fonctions]]="","",IF(ISNA(VLOOKUP(SalCommune[[#This Row],[Allocations fonctions]],DROPDOWN[Dropdown82],1,FALSE))=TRUE,"&lt;-- Veuillez choisir l'allocation parmis la liste déroulante.",""))</f>
        <v/>
      </c>
    </row>
    <row r="38" spans="1:34" x14ac:dyDescent="0.25">
      <c r="A38" s="73" t="str">
        <f>IF(SalCommune[[#This Row],[Statut]]="","",IF(ISNA(VLOOKUP(SalCommune[[#This Row],[Statut]],'Grille communale'!$B$3:$B$5,1,FALSE))=TRUE,"Veuillez choisir le statut parmis la liste déroulante",""))</f>
        <v/>
      </c>
      <c r="B38" s="8"/>
      <c r="C38" s="8"/>
      <c r="D38" s="8"/>
      <c r="E38" s="21"/>
      <c r="F38" s="8"/>
      <c r="G38" s="8"/>
      <c r="H38" s="9"/>
      <c r="I38" s="9"/>
      <c r="J38" s="9"/>
      <c r="K38" s="10"/>
      <c r="L38" s="10"/>
      <c r="M38" s="9"/>
      <c r="N38" s="9"/>
      <c r="O38" s="9"/>
      <c r="P38"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8" s="9"/>
      <c r="R38" s="9"/>
      <c r="S38" s="38"/>
      <c r="T38" s="38"/>
      <c r="U38" s="38"/>
      <c r="V38" s="38"/>
      <c r="W38" s="38"/>
      <c r="X38" s="67" t="str">
        <f>IF(COUNTA(SalCommune[[#This Row],[N°]:[heures annuelles
selon contrat(s)]])=0,"",SalCommune[[#This Row],[Brut]]+SalCommune[[#This Row],[Autres Primes]]+SalCommune[[#This Row],[Part patronale]]-ABS(SalCommune[[#This Row],[Remboursement Mutualité]])-ABS(SalCommune[[#This Row],[Remboursement
Autres]]))</f>
        <v/>
      </c>
      <c r="Y38" s="38"/>
      <c r="Z38"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8" s="8"/>
      <c r="AB38" s="64"/>
      <c r="AC38"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8"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8" s="505"/>
      <c r="AF38" s="187"/>
      <c r="AG38" s="200" t="str">
        <f>IF(COUNTA(SalCommune[[#This Row],[N°]:[heures annuelles
selon contrat(s)]])=0,"",REVEX!$E$9)</f>
        <v/>
      </c>
      <c r="AH38" s="73" t="str">
        <f>IF(SalCommune[[#This Row],[Allocations fonctions]]="","",IF(ISNA(VLOOKUP(SalCommune[[#This Row],[Allocations fonctions]],DROPDOWN[Dropdown82],1,FALSE))=TRUE,"&lt;-- Veuillez choisir l'allocation parmis la liste déroulante.",""))</f>
        <v/>
      </c>
    </row>
    <row r="39" spans="1:34" x14ac:dyDescent="0.25">
      <c r="A39" s="73" t="str">
        <f>IF(SalCommune[[#This Row],[Statut]]="","",IF(ISNA(VLOOKUP(SalCommune[[#This Row],[Statut]],'Grille communale'!$B$3:$B$5,1,FALSE))=TRUE,"Veuillez choisir le statut parmis la liste déroulante",""))</f>
        <v/>
      </c>
      <c r="B39" s="8"/>
      <c r="C39" s="8"/>
      <c r="D39" s="8"/>
      <c r="E39" s="21"/>
      <c r="F39" s="8"/>
      <c r="G39" s="8"/>
      <c r="H39" s="9"/>
      <c r="I39" s="9"/>
      <c r="J39" s="9"/>
      <c r="K39" s="10"/>
      <c r="L39" s="10"/>
      <c r="M39" s="9"/>
      <c r="N39" s="9"/>
      <c r="O39" s="9"/>
      <c r="P39"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9" s="9"/>
      <c r="R39" s="9"/>
      <c r="S39" s="38"/>
      <c r="T39" s="38"/>
      <c r="U39" s="38"/>
      <c r="V39" s="38"/>
      <c r="W39" s="38"/>
      <c r="X39" s="67" t="str">
        <f>IF(COUNTA(SalCommune[[#This Row],[N°]:[heures annuelles
selon contrat(s)]])=0,"",SalCommune[[#This Row],[Brut]]+SalCommune[[#This Row],[Autres Primes]]+SalCommune[[#This Row],[Part patronale]]-ABS(SalCommune[[#This Row],[Remboursement Mutualité]])-ABS(SalCommune[[#This Row],[Remboursement
Autres]]))</f>
        <v/>
      </c>
      <c r="Y39" s="38"/>
      <c r="Z39"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9" s="8"/>
      <c r="AB39" s="64"/>
      <c r="AC39"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9"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9" s="505"/>
      <c r="AF39" s="187"/>
      <c r="AG39" s="200" t="str">
        <f>IF(COUNTA(SalCommune[[#This Row],[N°]:[heures annuelles
selon contrat(s)]])=0,"",REVEX!$E$9)</f>
        <v/>
      </c>
      <c r="AH39" s="73" t="str">
        <f>IF(SalCommune[[#This Row],[Allocations fonctions]]="","",IF(ISNA(VLOOKUP(SalCommune[[#This Row],[Allocations fonctions]],DROPDOWN[Dropdown82],1,FALSE))=TRUE,"&lt;-- Veuillez choisir l'allocation parmis la liste déroulante.",""))</f>
        <v/>
      </c>
    </row>
    <row r="40" spans="1:34" x14ac:dyDescent="0.25">
      <c r="A40" s="73" t="str">
        <f>IF(SalCommune[[#This Row],[Statut]]="","",IF(ISNA(VLOOKUP(SalCommune[[#This Row],[Statut]],'Grille communale'!$B$3:$B$5,1,FALSE))=TRUE,"Veuillez choisir le statut parmis la liste déroulante",""))</f>
        <v/>
      </c>
      <c r="B40" s="8"/>
      <c r="C40" s="8"/>
      <c r="D40" s="8"/>
      <c r="E40" s="21"/>
      <c r="F40" s="8"/>
      <c r="G40" s="8"/>
      <c r="H40" s="9"/>
      <c r="I40" s="9"/>
      <c r="J40" s="9"/>
      <c r="K40" s="10"/>
      <c r="L40" s="10"/>
      <c r="M40" s="9"/>
      <c r="N40" s="9"/>
      <c r="O40" s="9"/>
      <c r="P40"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0" s="9"/>
      <c r="R40" s="9"/>
      <c r="S40" s="38"/>
      <c r="T40" s="38"/>
      <c r="U40" s="38"/>
      <c r="V40" s="38"/>
      <c r="W40" s="38"/>
      <c r="X40" s="67" t="str">
        <f>IF(COUNTA(SalCommune[[#This Row],[N°]:[heures annuelles
selon contrat(s)]])=0,"",SalCommune[[#This Row],[Brut]]+SalCommune[[#This Row],[Autres Primes]]+SalCommune[[#This Row],[Part patronale]]-ABS(SalCommune[[#This Row],[Remboursement Mutualité]])-ABS(SalCommune[[#This Row],[Remboursement
Autres]]))</f>
        <v/>
      </c>
      <c r="Y40" s="38"/>
      <c r="Z40"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0" s="8"/>
      <c r="AB40" s="64"/>
      <c r="AC40"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0"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0" s="505"/>
      <c r="AF40" s="187"/>
      <c r="AG40" s="200" t="str">
        <f>IF(COUNTA(SalCommune[[#This Row],[N°]:[heures annuelles
selon contrat(s)]])=0,"",REVEX!$E$9)</f>
        <v/>
      </c>
      <c r="AH40" s="73" t="str">
        <f>IF(SalCommune[[#This Row],[Allocations fonctions]]="","",IF(ISNA(VLOOKUP(SalCommune[[#This Row],[Allocations fonctions]],DROPDOWN[Dropdown82],1,FALSE))=TRUE,"&lt;-- Veuillez choisir l'allocation parmis la liste déroulante.",""))</f>
        <v/>
      </c>
    </row>
    <row r="41" spans="1:34" x14ac:dyDescent="0.25">
      <c r="A41" s="73" t="str">
        <f>IF(SalCommune[[#This Row],[Statut]]="","",IF(ISNA(VLOOKUP(SalCommune[[#This Row],[Statut]],'Grille communale'!$B$3:$B$5,1,FALSE))=TRUE,"Veuillez choisir le statut parmis la liste déroulante",""))</f>
        <v/>
      </c>
      <c r="B41" s="8"/>
      <c r="C41" s="8"/>
      <c r="D41" s="8"/>
      <c r="E41" s="21"/>
      <c r="F41" s="8"/>
      <c r="G41" s="8"/>
      <c r="H41" s="9"/>
      <c r="I41" s="9"/>
      <c r="J41" s="9"/>
      <c r="K41" s="10"/>
      <c r="L41" s="10"/>
      <c r="M41" s="9"/>
      <c r="N41" s="9"/>
      <c r="O41" s="9"/>
      <c r="P41"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1" s="9"/>
      <c r="R41" s="9"/>
      <c r="S41" s="38"/>
      <c r="T41" s="38"/>
      <c r="U41" s="38"/>
      <c r="V41" s="38"/>
      <c r="W41" s="38"/>
      <c r="X41" s="67" t="str">
        <f>IF(COUNTA(SalCommune[[#This Row],[N°]:[heures annuelles
selon contrat(s)]])=0,"",SalCommune[[#This Row],[Brut]]+SalCommune[[#This Row],[Autres Primes]]+SalCommune[[#This Row],[Part patronale]]-ABS(SalCommune[[#This Row],[Remboursement Mutualité]])-ABS(SalCommune[[#This Row],[Remboursement
Autres]]))</f>
        <v/>
      </c>
      <c r="Y41" s="38"/>
      <c r="Z41"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1" s="8"/>
      <c r="AB41" s="64"/>
      <c r="AC41"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1"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1" s="505"/>
      <c r="AF41" s="187"/>
      <c r="AG41" s="200" t="str">
        <f>IF(COUNTA(SalCommune[[#This Row],[N°]:[heures annuelles
selon contrat(s)]])=0,"",REVEX!$E$9)</f>
        <v/>
      </c>
      <c r="AH41" s="73" t="str">
        <f>IF(SalCommune[[#This Row],[Allocations fonctions]]="","",IF(ISNA(VLOOKUP(SalCommune[[#This Row],[Allocations fonctions]],DROPDOWN[Dropdown82],1,FALSE))=TRUE,"&lt;-- Veuillez choisir l'allocation parmis la liste déroulante.",""))</f>
        <v/>
      </c>
    </row>
    <row r="42" spans="1:34" x14ac:dyDescent="0.25">
      <c r="A42" s="73" t="str">
        <f>IF(SalCommune[[#This Row],[Statut]]="","",IF(ISNA(VLOOKUP(SalCommune[[#This Row],[Statut]],'Grille communale'!$B$3:$B$5,1,FALSE))=TRUE,"Veuillez choisir le statut parmis la liste déroulante",""))</f>
        <v/>
      </c>
      <c r="B42" s="8"/>
      <c r="C42" s="8"/>
      <c r="D42" s="8"/>
      <c r="E42" s="21"/>
      <c r="F42" s="8"/>
      <c r="G42" s="8"/>
      <c r="H42" s="9"/>
      <c r="I42" s="9"/>
      <c r="J42" s="9"/>
      <c r="K42" s="10"/>
      <c r="L42" s="10"/>
      <c r="M42" s="9"/>
      <c r="N42" s="9"/>
      <c r="O42" s="9"/>
      <c r="P42"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2" s="9"/>
      <c r="R42" s="9"/>
      <c r="S42" s="38"/>
      <c r="T42" s="38"/>
      <c r="U42" s="38"/>
      <c r="V42" s="38"/>
      <c r="W42" s="38"/>
      <c r="X42" s="67" t="str">
        <f>IF(COUNTA(SalCommune[[#This Row],[N°]:[heures annuelles
selon contrat(s)]])=0,"",SalCommune[[#This Row],[Brut]]+SalCommune[[#This Row],[Autres Primes]]+SalCommune[[#This Row],[Part patronale]]-ABS(SalCommune[[#This Row],[Remboursement Mutualité]])-ABS(SalCommune[[#This Row],[Remboursement
Autres]]))</f>
        <v/>
      </c>
      <c r="Y42" s="38"/>
      <c r="Z42"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2" s="8"/>
      <c r="AB42" s="64"/>
      <c r="AC42"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2"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2" s="505"/>
      <c r="AF42" s="187"/>
      <c r="AG42" s="200" t="str">
        <f>IF(COUNTA(SalCommune[[#This Row],[N°]:[heures annuelles
selon contrat(s)]])=0,"",REVEX!$E$9)</f>
        <v/>
      </c>
      <c r="AH42" s="73" t="str">
        <f>IF(SalCommune[[#This Row],[Allocations fonctions]]="","",IF(ISNA(VLOOKUP(SalCommune[[#This Row],[Allocations fonctions]],DROPDOWN[Dropdown82],1,FALSE))=TRUE,"&lt;-- Veuillez choisir l'allocation parmis la liste déroulante.",""))</f>
        <v/>
      </c>
    </row>
    <row r="43" spans="1:34" x14ac:dyDescent="0.25">
      <c r="A43" s="73" t="str">
        <f>IF(SalCommune[[#This Row],[Statut]]="","",IF(ISNA(VLOOKUP(SalCommune[[#This Row],[Statut]],'Grille communale'!$B$3:$B$5,1,FALSE))=TRUE,"Veuillez choisir le statut parmis la liste déroulante",""))</f>
        <v/>
      </c>
      <c r="B43" s="8"/>
      <c r="C43" s="8"/>
      <c r="D43" s="8"/>
      <c r="E43" s="21"/>
      <c r="F43" s="8"/>
      <c r="G43" s="8"/>
      <c r="H43" s="9"/>
      <c r="I43" s="9"/>
      <c r="J43" s="9"/>
      <c r="K43" s="10"/>
      <c r="L43" s="10"/>
      <c r="M43" s="9"/>
      <c r="N43" s="9"/>
      <c r="O43" s="9"/>
      <c r="P43"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3" s="9"/>
      <c r="R43" s="9"/>
      <c r="S43" s="38"/>
      <c r="T43" s="38"/>
      <c r="U43" s="38"/>
      <c r="V43" s="38"/>
      <c r="W43" s="38"/>
      <c r="X43" s="67" t="str">
        <f>IF(COUNTA(SalCommune[[#This Row],[N°]:[heures annuelles
selon contrat(s)]])=0,"",SalCommune[[#This Row],[Brut]]+SalCommune[[#This Row],[Autres Primes]]+SalCommune[[#This Row],[Part patronale]]-ABS(SalCommune[[#This Row],[Remboursement Mutualité]])-ABS(SalCommune[[#This Row],[Remboursement
Autres]]))</f>
        <v/>
      </c>
      <c r="Y43" s="38"/>
      <c r="Z43"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3" s="8"/>
      <c r="AB43" s="64"/>
      <c r="AC43"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3"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3" s="505"/>
      <c r="AF43" s="187"/>
      <c r="AG43" s="200" t="str">
        <f>IF(COUNTA(SalCommune[[#This Row],[N°]:[heures annuelles
selon contrat(s)]])=0,"",REVEX!$E$9)</f>
        <v/>
      </c>
      <c r="AH43" s="73" t="str">
        <f>IF(SalCommune[[#This Row],[Allocations fonctions]]="","",IF(ISNA(VLOOKUP(SalCommune[[#This Row],[Allocations fonctions]],DROPDOWN[Dropdown82],1,FALSE))=TRUE,"&lt;-- Veuillez choisir l'allocation parmis la liste déroulante.",""))</f>
        <v/>
      </c>
    </row>
    <row r="44" spans="1:34" x14ac:dyDescent="0.25">
      <c r="A44" s="73" t="str">
        <f>IF(SalCommune[[#This Row],[Statut]]="","",IF(ISNA(VLOOKUP(SalCommune[[#This Row],[Statut]],'Grille communale'!$B$3:$B$5,1,FALSE))=TRUE,"Veuillez choisir le statut parmis la liste déroulante",""))</f>
        <v/>
      </c>
      <c r="B44" s="8"/>
      <c r="C44" s="8"/>
      <c r="D44" s="8"/>
      <c r="E44" s="21"/>
      <c r="F44" s="8"/>
      <c r="G44" s="8"/>
      <c r="H44" s="9"/>
      <c r="I44" s="9"/>
      <c r="J44" s="9"/>
      <c r="K44" s="10"/>
      <c r="L44" s="10"/>
      <c r="M44" s="9"/>
      <c r="N44" s="9"/>
      <c r="O44" s="9"/>
      <c r="P44"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4" s="9"/>
      <c r="R44" s="9"/>
      <c r="S44" s="38"/>
      <c r="T44" s="38"/>
      <c r="U44" s="38"/>
      <c r="V44" s="38"/>
      <c r="W44" s="38"/>
      <c r="X44" s="67" t="str">
        <f>IF(COUNTA(SalCommune[[#This Row],[N°]:[heures annuelles
selon contrat(s)]])=0,"",SalCommune[[#This Row],[Brut]]+SalCommune[[#This Row],[Autres Primes]]+SalCommune[[#This Row],[Part patronale]]-ABS(SalCommune[[#This Row],[Remboursement Mutualité]])-ABS(SalCommune[[#This Row],[Remboursement
Autres]]))</f>
        <v/>
      </c>
      <c r="Y44" s="38"/>
      <c r="Z44"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4" s="8"/>
      <c r="AB44" s="64"/>
      <c r="AC44"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4"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4" s="505"/>
      <c r="AF44" s="187"/>
      <c r="AG44" s="200" t="str">
        <f>IF(COUNTA(SalCommune[[#This Row],[N°]:[heures annuelles
selon contrat(s)]])=0,"",REVEX!$E$9)</f>
        <v/>
      </c>
      <c r="AH44" s="73" t="str">
        <f>IF(SalCommune[[#This Row],[Allocations fonctions]]="","",IF(ISNA(VLOOKUP(SalCommune[[#This Row],[Allocations fonctions]],DROPDOWN[Dropdown82],1,FALSE))=TRUE,"&lt;-- Veuillez choisir l'allocation parmis la liste déroulante.",""))</f>
        <v/>
      </c>
    </row>
    <row r="45" spans="1:34" x14ac:dyDescent="0.25">
      <c r="A45" s="73" t="str">
        <f>IF(SalCommune[[#This Row],[Statut]]="","",IF(ISNA(VLOOKUP(SalCommune[[#This Row],[Statut]],'Grille communale'!$B$3:$B$5,1,FALSE))=TRUE,"Veuillez choisir le statut parmis la liste déroulante",""))</f>
        <v/>
      </c>
      <c r="B45" s="8"/>
      <c r="C45" s="8"/>
      <c r="D45" s="8"/>
      <c r="E45" s="21"/>
      <c r="F45" s="8"/>
      <c r="G45" s="8"/>
      <c r="H45" s="9"/>
      <c r="I45" s="9"/>
      <c r="J45" s="9"/>
      <c r="K45" s="10"/>
      <c r="L45" s="10"/>
      <c r="M45" s="9"/>
      <c r="N45" s="9"/>
      <c r="O45" s="9"/>
      <c r="P45"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5" s="9"/>
      <c r="R45" s="9"/>
      <c r="S45" s="38"/>
      <c r="T45" s="38"/>
      <c r="U45" s="38"/>
      <c r="V45" s="38"/>
      <c r="W45" s="38"/>
      <c r="X45" s="67" t="str">
        <f>IF(COUNTA(SalCommune[[#This Row],[N°]:[heures annuelles
selon contrat(s)]])=0,"",SalCommune[[#This Row],[Brut]]+SalCommune[[#This Row],[Autres Primes]]+SalCommune[[#This Row],[Part patronale]]-ABS(SalCommune[[#This Row],[Remboursement Mutualité]])-ABS(SalCommune[[#This Row],[Remboursement
Autres]]))</f>
        <v/>
      </c>
      <c r="Y45" s="38"/>
      <c r="Z45"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5" s="8"/>
      <c r="AB45" s="64"/>
      <c r="AC45"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5"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5" s="505"/>
      <c r="AF45" s="187"/>
      <c r="AG45" s="200" t="str">
        <f>IF(COUNTA(SalCommune[[#This Row],[N°]:[heures annuelles
selon contrat(s)]])=0,"",REVEX!$E$9)</f>
        <v/>
      </c>
      <c r="AH45" s="73" t="str">
        <f>IF(SalCommune[[#This Row],[Allocations fonctions]]="","",IF(ISNA(VLOOKUP(SalCommune[[#This Row],[Allocations fonctions]],DROPDOWN[Dropdown82],1,FALSE))=TRUE,"&lt;-- Veuillez choisir l'allocation parmis la liste déroulante.",""))</f>
        <v/>
      </c>
    </row>
    <row r="46" spans="1:34" x14ac:dyDescent="0.25">
      <c r="A46" s="73" t="str">
        <f>IF(SalCommune[[#This Row],[Statut]]="","",IF(ISNA(VLOOKUP(SalCommune[[#This Row],[Statut]],'Grille communale'!$B$3:$B$5,1,FALSE))=TRUE,"Veuillez choisir le statut parmis la liste déroulante",""))</f>
        <v/>
      </c>
      <c r="B46" s="8"/>
      <c r="C46" s="8"/>
      <c r="D46" s="8"/>
      <c r="E46" s="21"/>
      <c r="F46" s="8"/>
      <c r="G46" s="8"/>
      <c r="H46" s="9"/>
      <c r="I46" s="9"/>
      <c r="J46" s="9"/>
      <c r="K46" s="10"/>
      <c r="L46" s="10"/>
      <c r="M46" s="9"/>
      <c r="N46" s="9"/>
      <c r="O46" s="9"/>
      <c r="P46"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6" s="9"/>
      <c r="R46" s="9"/>
      <c r="S46" s="38"/>
      <c r="T46" s="38"/>
      <c r="U46" s="38"/>
      <c r="V46" s="38"/>
      <c r="W46" s="38"/>
      <c r="X46" s="67" t="str">
        <f>IF(COUNTA(SalCommune[[#This Row],[N°]:[heures annuelles
selon contrat(s)]])=0,"",SalCommune[[#This Row],[Brut]]+SalCommune[[#This Row],[Autres Primes]]+SalCommune[[#This Row],[Part patronale]]-ABS(SalCommune[[#This Row],[Remboursement Mutualité]])-ABS(SalCommune[[#This Row],[Remboursement
Autres]]))</f>
        <v/>
      </c>
      <c r="Y46" s="38"/>
      <c r="Z46"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6" s="8"/>
      <c r="AB46" s="64"/>
      <c r="AC46"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6"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6" s="505"/>
      <c r="AF46" s="187"/>
      <c r="AG46" s="200" t="str">
        <f>IF(COUNTA(SalCommune[[#This Row],[N°]:[heures annuelles
selon contrat(s)]])=0,"",REVEX!$E$9)</f>
        <v/>
      </c>
      <c r="AH46" s="73" t="str">
        <f>IF(SalCommune[[#This Row],[Allocations fonctions]]="","",IF(ISNA(VLOOKUP(SalCommune[[#This Row],[Allocations fonctions]],DROPDOWN[Dropdown82],1,FALSE))=TRUE,"&lt;-- Veuillez choisir l'allocation parmis la liste déroulante.",""))</f>
        <v/>
      </c>
    </row>
    <row r="47" spans="1:34" x14ac:dyDescent="0.25">
      <c r="A47" s="73" t="str">
        <f>IF(SalCommune[[#This Row],[Statut]]="","",IF(ISNA(VLOOKUP(SalCommune[[#This Row],[Statut]],'Grille communale'!$B$3:$B$5,1,FALSE))=TRUE,"Veuillez choisir le statut parmis la liste déroulante",""))</f>
        <v/>
      </c>
      <c r="B47" s="8"/>
      <c r="C47" s="8"/>
      <c r="D47" s="8"/>
      <c r="E47" s="21"/>
      <c r="F47" s="8"/>
      <c r="G47" s="8"/>
      <c r="H47" s="9"/>
      <c r="I47" s="9"/>
      <c r="J47" s="9"/>
      <c r="K47" s="10"/>
      <c r="L47" s="10"/>
      <c r="M47" s="9"/>
      <c r="N47" s="9"/>
      <c r="O47" s="9"/>
      <c r="P47"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7" s="9"/>
      <c r="R47" s="9"/>
      <c r="S47" s="38"/>
      <c r="T47" s="38"/>
      <c r="U47" s="38"/>
      <c r="V47" s="38"/>
      <c r="W47" s="38"/>
      <c r="X47" s="67" t="str">
        <f>IF(COUNTA(SalCommune[[#This Row],[N°]:[heures annuelles
selon contrat(s)]])=0,"",SalCommune[[#This Row],[Brut]]+SalCommune[[#This Row],[Autres Primes]]+SalCommune[[#This Row],[Part patronale]]-ABS(SalCommune[[#This Row],[Remboursement Mutualité]])-ABS(SalCommune[[#This Row],[Remboursement
Autres]]))</f>
        <v/>
      </c>
      <c r="Y47" s="38"/>
      <c r="Z47"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7" s="8"/>
      <c r="AB47" s="64"/>
      <c r="AC47"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7"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7" s="505"/>
      <c r="AF47" s="187"/>
      <c r="AG47" s="200" t="str">
        <f>IF(COUNTA(SalCommune[[#This Row],[N°]:[heures annuelles
selon contrat(s)]])=0,"",REVEX!$E$9)</f>
        <v/>
      </c>
      <c r="AH47" s="73" t="str">
        <f>IF(SalCommune[[#This Row],[Allocations fonctions]]="","",IF(ISNA(VLOOKUP(SalCommune[[#This Row],[Allocations fonctions]],DROPDOWN[Dropdown82],1,FALSE))=TRUE,"&lt;-- Veuillez choisir l'allocation parmis la liste déroulante.",""))</f>
        <v/>
      </c>
    </row>
    <row r="48" spans="1:34" x14ac:dyDescent="0.25">
      <c r="A48" s="73" t="str">
        <f>IF(SalCommune[[#This Row],[Statut]]="","",IF(ISNA(VLOOKUP(SalCommune[[#This Row],[Statut]],'Grille communale'!$B$3:$B$5,1,FALSE))=TRUE,"Veuillez choisir le statut parmis la liste déroulante",""))</f>
        <v/>
      </c>
      <c r="B48" s="8"/>
      <c r="C48" s="8"/>
      <c r="D48" s="8"/>
      <c r="E48" s="21"/>
      <c r="F48" s="8"/>
      <c r="G48" s="8"/>
      <c r="H48" s="9"/>
      <c r="I48" s="9"/>
      <c r="J48" s="9"/>
      <c r="K48" s="10"/>
      <c r="L48" s="10"/>
      <c r="M48" s="9"/>
      <c r="N48" s="9"/>
      <c r="O48" s="9"/>
      <c r="P48"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8" s="9"/>
      <c r="R48" s="9"/>
      <c r="S48" s="38"/>
      <c r="T48" s="38"/>
      <c r="U48" s="38"/>
      <c r="V48" s="38"/>
      <c r="W48" s="38"/>
      <c r="X48" s="67" t="str">
        <f>IF(COUNTA(SalCommune[[#This Row],[N°]:[heures annuelles
selon contrat(s)]])=0,"",SalCommune[[#This Row],[Brut]]+SalCommune[[#This Row],[Autres Primes]]+SalCommune[[#This Row],[Part patronale]]-ABS(SalCommune[[#This Row],[Remboursement Mutualité]])-ABS(SalCommune[[#This Row],[Remboursement
Autres]]))</f>
        <v/>
      </c>
      <c r="Y48" s="38"/>
      <c r="Z48"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8" s="8"/>
      <c r="AB48" s="64"/>
      <c r="AC48"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8"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8" s="505"/>
      <c r="AF48" s="187"/>
      <c r="AG48" s="200" t="str">
        <f>IF(COUNTA(SalCommune[[#This Row],[N°]:[heures annuelles
selon contrat(s)]])=0,"",REVEX!$E$9)</f>
        <v/>
      </c>
      <c r="AH48" s="73" t="str">
        <f>IF(SalCommune[[#This Row],[Allocations fonctions]]="","",IF(ISNA(VLOOKUP(SalCommune[[#This Row],[Allocations fonctions]],DROPDOWN[Dropdown82],1,FALSE))=TRUE,"&lt;-- Veuillez choisir l'allocation parmis la liste déroulante.",""))</f>
        <v/>
      </c>
    </row>
    <row r="49" spans="1:34" x14ac:dyDescent="0.25">
      <c r="A49" s="73" t="str">
        <f>IF(SalCommune[[#This Row],[Statut]]="","",IF(ISNA(VLOOKUP(SalCommune[[#This Row],[Statut]],'Grille communale'!$B$3:$B$5,1,FALSE))=TRUE,"Veuillez choisir le statut parmis la liste déroulante",""))</f>
        <v/>
      </c>
      <c r="B49" s="8"/>
      <c r="C49" s="8"/>
      <c r="D49" s="8"/>
      <c r="E49" s="21"/>
      <c r="F49" s="8"/>
      <c r="G49" s="8"/>
      <c r="H49" s="9"/>
      <c r="I49" s="9"/>
      <c r="J49" s="9"/>
      <c r="K49" s="10"/>
      <c r="L49" s="10"/>
      <c r="M49" s="9"/>
      <c r="N49" s="9"/>
      <c r="O49" s="9"/>
      <c r="P49"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9" s="9"/>
      <c r="R49" s="9"/>
      <c r="S49" s="38"/>
      <c r="T49" s="38"/>
      <c r="U49" s="38"/>
      <c r="V49" s="38"/>
      <c r="W49" s="38"/>
      <c r="X49" s="67" t="str">
        <f>IF(COUNTA(SalCommune[[#This Row],[N°]:[heures annuelles
selon contrat(s)]])=0,"",SalCommune[[#This Row],[Brut]]+SalCommune[[#This Row],[Autres Primes]]+SalCommune[[#This Row],[Part patronale]]-ABS(SalCommune[[#This Row],[Remboursement Mutualité]])-ABS(SalCommune[[#This Row],[Remboursement
Autres]]))</f>
        <v/>
      </c>
      <c r="Y49" s="38"/>
      <c r="Z49"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9" s="8"/>
      <c r="AB49" s="64"/>
      <c r="AC49"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9"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9" s="505"/>
      <c r="AF49" s="187"/>
      <c r="AG49" s="200" t="str">
        <f>IF(COUNTA(SalCommune[[#This Row],[N°]:[heures annuelles
selon contrat(s)]])=0,"",REVEX!$E$9)</f>
        <v/>
      </c>
      <c r="AH49" s="73" t="str">
        <f>IF(SalCommune[[#This Row],[Allocations fonctions]]="","",IF(ISNA(VLOOKUP(SalCommune[[#This Row],[Allocations fonctions]],DROPDOWN[Dropdown82],1,FALSE))=TRUE,"&lt;-- Veuillez choisir l'allocation parmis la liste déroulante.",""))</f>
        <v/>
      </c>
    </row>
    <row r="50" spans="1:34" x14ac:dyDescent="0.25">
      <c r="A50" s="73" t="str">
        <f>IF(SalCommune[[#This Row],[Statut]]="","",IF(ISNA(VLOOKUP(SalCommune[[#This Row],[Statut]],'Grille communale'!$B$3:$B$5,1,FALSE))=TRUE,"Veuillez choisir le statut parmis la liste déroulante",""))</f>
        <v/>
      </c>
      <c r="B50" s="8"/>
      <c r="C50" s="8"/>
      <c r="D50" s="8"/>
      <c r="E50" s="21"/>
      <c r="F50" s="8"/>
      <c r="G50" s="8"/>
      <c r="H50" s="9"/>
      <c r="I50" s="9"/>
      <c r="J50" s="9"/>
      <c r="K50" s="10"/>
      <c r="L50" s="10"/>
      <c r="M50" s="9"/>
      <c r="N50" s="9"/>
      <c r="O50" s="9"/>
      <c r="P50"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50" s="9"/>
      <c r="R50" s="9"/>
      <c r="S50" s="38"/>
      <c r="T50" s="38"/>
      <c r="U50" s="38"/>
      <c r="V50" s="38"/>
      <c r="W50" s="38"/>
      <c r="X50" s="67" t="str">
        <f>IF(COUNTA(SalCommune[[#This Row],[N°]:[heures annuelles
selon contrat(s)]])=0,"",SalCommune[[#This Row],[Brut]]+SalCommune[[#This Row],[Autres Primes]]+SalCommune[[#This Row],[Part patronale]]-ABS(SalCommune[[#This Row],[Remboursement Mutualité]])-ABS(SalCommune[[#This Row],[Remboursement
Autres]]))</f>
        <v/>
      </c>
      <c r="Y50" s="38"/>
      <c r="Z50"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50" s="8"/>
      <c r="AB50" s="64"/>
      <c r="AC50"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50"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50" s="505"/>
      <c r="AF50" s="187"/>
      <c r="AG50" s="200" t="str">
        <f>IF(COUNTA(SalCommune[[#This Row],[N°]:[heures annuelles
selon contrat(s)]])=0,"",REVEX!$E$9)</f>
        <v/>
      </c>
      <c r="AH50" s="73" t="str">
        <f>IF(SalCommune[[#This Row],[Allocations fonctions]]="","",IF(ISNA(VLOOKUP(SalCommune[[#This Row],[Allocations fonctions]],DROPDOWN[Dropdown82],1,FALSE))=TRUE,"&lt;-- Veuillez choisir l'allocation parmis la liste déroulante.",""))</f>
        <v/>
      </c>
    </row>
    <row r="51" spans="1:34" x14ac:dyDescent="0.25">
      <c r="A51" s="73" t="str">
        <f>IF(SalCommune[[#This Row],[Statut]]="","",IF(ISNA(VLOOKUP(SalCommune[[#This Row],[Statut]],'Grille communale'!$B$3:$B$5,1,FALSE))=TRUE,"Veuillez choisir le statut parmis la liste déroulante",""))</f>
        <v/>
      </c>
      <c r="B51" s="8"/>
      <c r="C51" s="8"/>
      <c r="D51" s="8"/>
      <c r="E51" s="21"/>
      <c r="F51" s="8"/>
      <c r="G51" s="8"/>
      <c r="H51" s="9"/>
      <c r="I51" s="9"/>
      <c r="J51" s="9"/>
      <c r="K51" s="10"/>
      <c r="L51" s="10"/>
      <c r="M51" s="9"/>
      <c r="N51" s="9"/>
      <c r="O51" s="9"/>
      <c r="P51"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51" s="9"/>
      <c r="R51" s="9"/>
      <c r="S51" s="38"/>
      <c r="T51" s="38"/>
      <c r="U51" s="38"/>
      <c r="V51" s="38"/>
      <c r="W51" s="38"/>
      <c r="X51" s="67" t="str">
        <f>IF(COUNTA(SalCommune[[#This Row],[N°]:[heures annuelles
selon contrat(s)]])=0,"",SalCommune[[#This Row],[Brut]]+SalCommune[[#This Row],[Autres Primes]]+SalCommune[[#This Row],[Part patronale]]-ABS(SalCommune[[#This Row],[Remboursement Mutualité]])-ABS(SalCommune[[#This Row],[Remboursement
Autres]]))</f>
        <v/>
      </c>
      <c r="Y51" s="38"/>
      <c r="Z51"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51" s="8"/>
      <c r="AB51" s="64"/>
      <c r="AC51"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51"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51" s="505"/>
      <c r="AF51" s="187"/>
      <c r="AG51" s="200" t="str">
        <f>IF(COUNTA(SalCommune[[#This Row],[N°]:[heures annuelles
selon contrat(s)]])=0,"",REVEX!$E$9)</f>
        <v/>
      </c>
      <c r="AH51" s="73" t="str">
        <f>IF(SalCommune[[#This Row],[Allocations fonctions]]="","",IF(ISNA(VLOOKUP(SalCommune[[#This Row],[Allocations fonctions]],DROPDOWN[Dropdown82],1,FALSE))=TRUE,"&lt;-- Veuillez choisir l'allocation parmis la liste déroulante.",""))</f>
        <v/>
      </c>
    </row>
    <row r="52" spans="1:34" x14ac:dyDescent="0.25">
      <c r="A52" s="73" t="str">
        <f>IF(SalCommune[[#This Row],[Statut]]="","",IF(ISNA(VLOOKUP(SalCommune[[#This Row],[Statut]],'Grille communale'!$B$3:$B$5,1,FALSE))=TRUE,"Veuillez choisir le statut parmis la liste déroulante",""))</f>
        <v/>
      </c>
      <c r="B52" s="8"/>
      <c r="C52" s="8"/>
      <c r="D52" s="8"/>
      <c r="E52" s="21"/>
      <c r="F52" s="8"/>
      <c r="G52" s="8"/>
      <c r="H52" s="9"/>
      <c r="I52" s="9"/>
      <c r="J52" s="9"/>
      <c r="K52" s="10"/>
      <c r="L52" s="10"/>
      <c r="M52" s="9"/>
      <c r="N52" s="9"/>
      <c r="O52" s="9"/>
      <c r="P52"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52" s="9"/>
      <c r="R52" s="9"/>
      <c r="S52" s="38"/>
      <c r="T52" s="38"/>
      <c r="U52" s="38"/>
      <c r="V52" s="38"/>
      <c r="W52" s="38"/>
      <c r="X52" s="67" t="str">
        <f>IF(COUNTA(SalCommune[[#This Row],[N°]:[heures annuelles
selon contrat(s)]])=0,"",SalCommune[[#This Row],[Brut]]+SalCommune[[#This Row],[Autres Primes]]+SalCommune[[#This Row],[Part patronale]]-ABS(SalCommune[[#This Row],[Remboursement Mutualité]])-ABS(SalCommune[[#This Row],[Remboursement
Autres]]))</f>
        <v/>
      </c>
      <c r="Y52" s="38"/>
      <c r="Z52"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52" s="8"/>
      <c r="AB52" s="64"/>
      <c r="AC52"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52"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52" s="505"/>
      <c r="AF52" s="187"/>
      <c r="AG52" s="200" t="str">
        <f>IF(COUNTA(SalCommune[[#This Row],[N°]:[heures annuelles
selon contrat(s)]])=0,"",REVEX!$E$9)</f>
        <v/>
      </c>
      <c r="AH52" s="73" t="str">
        <f>IF(SalCommune[[#This Row],[Allocations fonctions]]="","",IF(ISNA(VLOOKUP(SalCommune[[#This Row],[Allocations fonctions]],DROPDOWN[Dropdown82],1,FALSE))=TRUE,"&lt;-- Veuillez choisir l'allocation parmis la liste déroulante.",""))</f>
        <v/>
      </c>
    </row>
    <row r="53" spans="1:34" x14ac:dyDescent="0.25">
      <c r="A53" s="73" t="str">
        <f>IF(SalCommune[[#This Row],[Statut]]="","",IF(ISNA(VLOOKUP(SalCommune[[#This Row],[Statut]],'Grille communale'!$B$3:$B$5,1,FALSE))=TRUE,"Veuillez choisir le statut parmis la liste déroulante",""))</f>
        <v/>
      </c>
      <c r="B53" s="8"/>
      <c r="C53" s="8"/>
      <c r="D53" s="8"/>
      <c r="E53" s="21"/>
      <c r="F53" s="8"/>
      <c r="G53" s="8"/>
      <c r="H53" s="9"/>
      <c r="I53" s="9"/>
      <c r="J53" s="9"/>
      <c r="K53" s="10"/>
      <c r="L53" s="10"/>
      <c r="M53" s="9"/>
      <c r="N53" s="9"/>
      <c r="O53" s="9"/>
      <c r="P53"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53" s="9"/>
      <c r="R53" s="9"/>
      <c r="S53" s="38"/>
      <c r="T53" s="38"/>
      <c r="U53" s="38"/>
      <c r="V53" s="38"/>
      <c r="W53" s="38"/>
      <c r="X53" s="67" t="str">
        <f>IF(COUNTA(SalCommune[[#This Row],[N°]:[heures annuelles
selon contrat(s)]])=0,"",SalCommune[[#This Row],[Brut]]+SalCommune[[#This Row],[Autres Primes]]+SalCommune[[#This Row],[Part patronale]]-ABS(SalCommune[[#This Row],[Remboursement Mutualité]])-ABS(SalCommune[[#This Row],[Remboursement
Autres]]))</f>
        <v/>
      </c>
      <c r="Y53" s="38"/>
      <c r="Z53"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53" s="8"/>
      <c r="AB53" s="64"/>
      <c r="AC53"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53"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53" s="505"/>
      <c r="AF53" s="187"/>
      <c r="AG53" s="200" t="str">
        <f>IF(COUNTA(SalCommune[[#This Row],[N°]:[heures annuelles
selon contrat(s)]])=0,"",REVEX!$E$9)</f>
        <v/>
      </c>
      <c r="AH53" s="73" t="str">
        <f>IF(SalCommune[[#This Row],[Allocations fonctions]]="","",IF(ISNA(VLOOKUP(SalCommune[[#This Row],[Allocations fonctions]],DROPDOWN[Dropdown82],1,FALSE))=TRUE,"&lt;-- Veuillez choisir l'allocation parmis la liste déroulante.",""))</f>
        <v/>
      </c>
    </row>
    <row r="54" spans="1:34" x14ac:dyDescent="0.25">
      <c r="A54" s="73" t="str">
        <f>IF(SalCommune[[#This Row],[Statut]]="","",IF(ISNA(VLOOKUP(SalCommune[[#This Row],[Statut]],'Grille communale'!$B$3:$B$5,1,FALSE))=TRUE,"Veuillez choisir le statut parmis la liste déroulante",""))</f>
        <v/>
      </c>
      <c r="B54" s="8"/>
      <c r="C54" s="8"/>
      <c r="D54" s="8"/>
      <c r="E54" s="21"/>
      <c r="F54" s="8"/>
      <c r="G54" s="8"/>
      <c r="H54" s="9"/>
      <c r="I54" s="9"/>
      <c r="J54" s="9"/>
      <c r="K54" s="10"/>
      <c r="L54" s="10"/>
      <c r="M54" s="9"/>
      <c r="N54" s="9"/>
      <c r="O54" s="9"/>
      <c r="P54"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54" s="9"/>
      <c r="R54" s="9"/>
      <c r="S54" s="38"/>
      <c r="T54" s="38"/>
      <c r="U54" s="38"/>
      <c r="V54" s="38"/>
      <c r="W54" s="38"/>
      <c r="X54" s="67" t="str">
        <f>IF(COUNTA(SalCommune[[#This Row],[N°]:[heures annuelles
selon contrat(s)]])=0,"",SalCommune[[#This Row],[Brut]]+SalCommune[[#This Row],[Autres Primes]]+SalCommune[[#This Row],[Part patronale]]-ABS(SalCommune[[#This Row],[Remboursement Mutualité]])-ABS(SalCommune[[#This Row],[Remboursement
Autres]]))</f>
        <v/>
      </c>
      <c r="Y54" s="38"/>
      <c r="Z54"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54" s="8"/>
      <c r="AB54" s="64"/>
      <c r="AC54"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54"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54" s="505"/>
      <c r="AF54" s="187"/>
      <c r="AG54" s="200" t="str">
        <f>IF(COUNTA(SalCommune[[#This Row],[N°]:[heures annuelles
selon contrat(s)]])=0,"",REVEX!$E$9)</f>
        <v/>
      </c>
      <c r="AH54" s="73" t="str">
        <f>IF(SalCommune[[#This Row],[Allocations fonctions]]="","",IF(ISNA(VLOOKUP(SalCommune[[#This Row],[Allocations fonctions]],DROPDOWN[Dropdown82],1,FALSE))=TRUE,"&lt;-- Veuillez choisir l'allocation parmis la liste déroulante.",""))</f>
        <v/>
      </c>
    </row>
    <row r="55" spans="1:34" x14ac:dyDescent="0.25">
      <c r="A55" s="73" t="str">
        <f>IF(SalCommune[[#This Row],[Statut]]="","",IF(ISNA(VLOOKUP(SalCommune[[#This Row],[Statut]],'Grille communale'!$B$3:$B$5,1,FALSE))=TRUE,"Veuillez choisir le statut parmis la liste déroulante",""))</f>
        <v/>
      </c>
      <c r="B55" s="8"/>
      <c r="C55" s="8"/>
      <c r="D55" s="8"/>
      <c r="E55" s="21"/>
      <c r="F55" s="8"/>
      <c r="G55" s="8"/>
      <c r="H55" s="9"/>
      <c r="I55" s="9"/>
      <c r="J55" s="9"/>
      <c r="K55" s="10"/>
      <c r="L55" s="10"/>
      <c r="M55" s="9"/>
      <c r="N55" s="9"/>
      <c r="O55" s="9"/>
      <c r="P55"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55" s="9"/>
      <c r="R55" s="9"/>
      <c r="S55" s="38"/>
      <c r="T55" s="38"/>
      <c r="U55" s="38"/>
      <c r="V55" s="38"/>
      <c r="W55" s="38"/>
      <c r="X55" s="67" t="str">
        <f>IF(COUNTA(SalCommune[[#This Row],[N°]:[heures annuelles
selon contrat(s)]])=0,"",SalCommune[[#This Row],[Brut]]+SalCommune[[#This Row],[Autres Primes]]+SalCommune[[#This Row],[Part patronale]]-ABS(SalCommune[[#This Row],[Remboursement Mutualité]])-ABS(SalCommune[[#This Row],[Remboursement
Autres]]))</f>
        <v/>
      </c>
      <c r="Y55" s="38"/>
      <c r="Z55"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55" s="8"/>
      <c r="AB55" s="64"/>
      <c r="AC55"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55"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55" s="505"/>
      <c r="AF55" s="187"/>
      <c r="AG55" s="200" t="str">
        <f>IF(COUNTA(SalCommune[[#This Row],[N°]:[heures annuelles
selon contrat(s)]])=0,"",REVEX!$E$9)</f>
        <v/>
      </c>
      <c r="AH55" s="73" t="str">
        <f>IF(SalCommune[[#This Row],[Allocations fonctions]]="","",IF(ISNA(VLOOKUP(SalCommune[[#This Row],[Allocations fonctions]],DROPDOWN[Dropdown82],1,FALSE))=TRUE,"&lt;-- Veuillez choisir l'allocation parmis la liste déroulante.",""))</f>
        <v/>
      </c>
    </row>
    <row r="56" spans="1:34" x14ac:dyDescent="0.25">
      <c r="A56" s="73" t="str">
        <f>IF(SalCommune[[#This Row],[Statut]]="","",IF(ISNA(VLOOKUP(SalCommune[[#This Row],[Statut]],'Grille communale'!$B$3:$B$5,1,FALSE))=TRUE,"Veuillez choisir le statut parmis la liste déroulante",""))</f>
        <v/>
      </c>
      <c r="B56" s="8"/>
      <c r="C56" s="8"/>
      <c r="D56" s="8"/>
      <c r="E56" s="21"/>
      <c r="F56" s="8"/>
      <c r="G56" s="8"/>
      <c r="H56" s="9"/>
      <c r="I56" s="9"/>
      <c r="J56" s="9"/>
      <c r="K56" s="10"/>
      <c r="L56" s="10"/>
      <c r="M56" s="9"/>
      <c r="N56" s="9"/>
      <c r="O56" s="9"/>
      <c r="P56"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56" s="9"/>
      <c r="R56" s="9"/>
      <c r="S56" s="38"/>
      <c r="T56" s="38"/>
      <c r="U56" s="38"/>
      <c r="V56" s="38"/>
      <c r="W56" s="38"/>
      <c r="X56" s="67" t="str">
        <f>IF(COUNTA(SalCommune[[#This Row],[N°]:[heures annuelles
selon contrat(s)]])=0,"",SalCommune[[#This Row],[Brut]]+SalCommune[[#This Row],[Autres Primes]]+SalCommune[[#This Row],[Part patronale]]-ABS(SalCommune[[#This Row],[Remboursement Mutualité]])-ABS(SalCommune[[#This Row],[Remboursement
Autres]]))</f>
        <v/>
      </c>
      <c r="Y56" s="38"/>
      <c r="Z56"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56" s="8"/>
      <c r="AB56" s="64"/>
      <c r="AC56"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56"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56" s="505"/>
      <c r="AF56" s="187"/>
      <c r="AG56" s="200" t="str">
        <f>IF(COUNTA(SalCommune[[#This Row],[N°]:[heures annuelles
selon contrat(s)]])=0,"",REVEX!$E$9)</f>
        <v/>
      </c>
      <c r="AH56" s="73" t="str">
        <f>IF(SalCommune[[#This Row],[Allocations fonctions]]="","",IF(ISNA(VLOOKUP(SalCommune[[#This Row],[Allocations fonctions]],DROPDOWN[Dropdown82],1,FALSE))=TRUE,"&lt;-- Veuillez choisir l'allocation parmis la liste déroulante.",""))</f>
        <v/>
      </c>
    </row>
    <row r="57" spans="1:34" x14ac:dyDescent="0.25">
      <c r="A57" s="73" t="str">
        <f>IF(SalCommune[[#This Row],[Statut]]="","",IF(ISNA(VLOOKUP(SalCommune[[#This Row],[Statut]],'Grille communale'!$B$3:$B$5,1,FALSE))=TRUE,"Veuillez choisir le statut parmis la liste déroulante",""))</f>
        <v/>
      </c>
      <c r="B57" s="8"/>
      <c r="C57" s="8"/>
      <c r="D57" s="8"/>
      <c r="E57" s="21"/>
      <c r="F57" s="8"/>
      <c r="G57" s="8"/>
      <c r="H57" s="9"/>
      <c r="I57" s="9"/>
      <c r="J57" s="9"/>
      <c r="K57" s="10"/>
      <c r="L57" s="10"/>
      <c r="M57" s="9"/>
      <c r="N57" s="9"/>
      <c r="O57" s="9"/>
      <c r="P57"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57" s="9"/>
      <c r="R57" s="9"/>
      <c r="S57" s="38"/>
      <c r="T57" s="38"/>
      <c r="U57" s="38"/>
      <c r="V57" s="38"/>
      <c r="W57" s="38"/>
      <c r="X57" s="67" t="str">
        <f>IF(COUNTA(SalCommune[[#This Row],[N°]:[heures annuelles
selon contrat(s)]])=0,"",SalCommune[[#This Row],[Brut]]+SalCommune[[#This Row],[Autres Primes]]+SalCommune[[#This Row],[Part patronale]]-ABS(SalCommune[[#This Row],[Remboursement Mutualité]])-ABS(SalCommune[[#This Row],[Remboursement
Autres]]))</f>
        <v/>
      </c>
      <c r="Y57" s="38"/>
      <c r="Z57"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57" s="8"/>
      <c r="AB57" s="64"/>
      <c r="AC57"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57"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57" s="505"/>
      <c r="AF57" s="187"/>
      <c r="AG57" s="200" t="str">
        <f>IF(COUNTA(SalCommune[[#This Row],[N°]:[heures annuelles
selon contrat(s)]])=0,"",REVEX!$E$9)</f>
        <v/>
      </c>
      <c r="AH57" s="73" t="str">
        <f>IF(SalCommune[[#This Row],[Allocations fonctions]]="","",IF(ISNA(VLOOKUP(SalCommune[[#This Row],[Allocations fonctions]],DROPDOWN[Dropdown82],1,FALSE))=TRUE,"&lt;-- Veuillez choisir l'allocation parmis la liste déroulante.",""))</f>
        <v/>
      </c>
    </row>
    <row r="58" spans="1:34" x14ac:dyDescent="0.25">
      <c r="A58" s="73" t="str">
        <f>IF(SalCommune[[#This Row],[Statut]]="","",IF(ISNA(VLOOKUP(SalCommune[[#This Row],[Statut]],'Grille communale'!$B$3:$B$5,1,FALSE))=TRUE,"Veuillez choisir le statut parmis la liste déroulante",""))</f>
        <v/>
      </c>
      <c r="B58" s="8"/>
      <c r="C58" s="8"/>
      <c r="D58" s="8"/>
      <c r="E58" s="21"/>
      <c r="F58" s="8"/>
      <c r="G58" s="8"/>
      <c r="H58" s="9"/>
      <c r="I58" s="9"/>
      <c r="J58" s="9"/>
      <c r="K58" s="10"/>
      <c r="L58" s="10"/>
      <c r="M58" s="9"/>
      <c r="N58" s="9"/>
      <c r="O58" s="9"/>
      <c r="P58"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58" s="9"/>
      <c r="R58" s="9"/>
      <c r="S58" s="38"/>
      <c r="T58" s="38"/>
      <c r="U58" s="38"/>
      <c r="V58" s="38"/>
      <c r="W58" s="38"/>
      <c r="X58" s="67" t="str">
        <f>IF(COUNTA(SalCommune[[#This Row],[N°]:[heures annuelles
selon contrat(s)]])=0,"",SalCommune[[#This Row],[Brut]]+SalCommune[[#This Row],[Autres Primes]]+SalCommune[[#This Row],[Part patronale]]-ABS(SalCommune[[#This Row],[Remboursement Mutualité]])-ABS(SalCommune[[#This Row],[Remboursement
Autres]]))</f>
        <v/>
      </c>
      <c r="Y58" s="38"/>
      <c r="Z58"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58" s="8"/>
      <c r="AB58" s="64"/>
      <c r="AC58"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58"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58" s="505"/>
      <c r="AF58" s="187"/>
      <c r="AG58" s="200" t="str">
        <f>IF(COUNTA(SalCommune[[#This Row],[N°]:[heures annuelles
selon contrat(s)]])=0,"",REVEX!$E$9)</f>
        <v/>
      </c>
      <c r="AH58" s="73" t="str">
        <f>IF(SalCommune[[#This Row],[Allocations fonctions]]="","",IF(ISNA(VLOOKUP(SalCommune[[#This Row],[Allocations fonctions]],DROPDOWN[Dropdown82],1,FALSE))=TRUE,"&lt;-- Veuillez choisir l'allocation parmis la liste déroulante.",""))</f>
        <v/>
      </c>
    </row>
    <row r="59" spans="1:34" x14ac:dyDescent="0.25">
      <c r="A59" s="73" t="str">
        <f>IF(SalCommune[[#This Row],[Statut]]="","",IF(ISNA(VLOOKUP(SalCommune[[#This Row],[Statut]],'Grille communale'!$B$3:$B$5,1,FALSE))=TRUE,"Veuillez choisir le statut parmis la liste déroulante",""))</f>
        <v/>
      </c>
      <c r="B59" s="8"/>
      <c r="C59" s="8"/>
      <c r="D59" s="8"/>
      <c r="E59" s="21"/>
      <c r="F59" s="8"/>
      <c r="G59" s="8"/>
      <c r="H59" s="9"/>
      <c r="I59" s="9"/>
      <c r="J59" s="9"/>
      <c r="K59" s="10"/>
      <c r="L59" s="10"/>
      <c r="M59" s="9"/>
      <c r="N59" s="9"/>
      <c r="O59" s="9"/>
      <c r="P59"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59" s="9"/>
      <c r="R59" s="9"/>
      <c r="S59" s="38"/>
      <c r="T59" s="38"/>
      <c r="U59" s="38"/>
      <c r="V59" s="38"/>
      <c r="W59" s="38"/>
      <c r="X59" s="67" t="str">
        <f>IF(COUNTA(SalCommune[[#This Row],[N°]:[heures annuelles
selon contrat(s)]])=0,"",SalCommune[[#This Row],[Brut]]+SalCommune[[#This Row],[Autres Primes]]+SalCommune[[#This Row],[Part patronale]]-ABS(SalCommune[[#This Row],[Remboursement Mutualité]])-ABS(SalCommune[[#This Row],[Remboursement
Autres]]))</f>
        <v/>
      </c>
      <c r="Y59" s="38"/>
      <c r="Z59"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59" s="8"/>
      <c r="AB59" s="64"/>
      <c r="AC59"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59"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59" s="505"/>
      <c r="AF59" s="187"/>
      <c r="AG59" s="200" t="str">
        <f>IF(COUNTA(SalCommune[[#This Row],[N°]:[heures annuelles
selon contrat(s)]])=0,"",REVEX!$E$9)</f>
        <v/>
      </c>
      <c r="AH59" s="73" t="str">
        <f>IF(SalCommune[[#This Row],[Allocations fonctions]]="","",IF(ISNA(VLOOKUP(SalCommune[[#This Row],[Allocations fonctions]],DROPDOWN[Dropdown82],1,FALSE))=TRUE,"&lt;-- Veuillez choisir l'allocation parmis la liste déroulante.",""))</f>
        <v/>
      </c>
    </row>
    <row r="60" spans="1:34" x14ac:dyDescent="0.25">
      <c r="A60" s="73" t="str">
        <f>IF(SalCommune[[#This Row],[Statut]]="","",IF(ISNA(VLOOKUP(SalCommune[[#This Row],[Statut]],'Grille communale'!$B$3:$B$5,1,FALSE))=TRUE,"Veuillez choisir le statut parmis la liste déroulante",""))</f>
        <v/>
      </c>
      <c r="B60" s="8"/>
      <c r="C60" s="8"/>
      <c r="D60" s="8"/>
      <c r="E60" s="21"/>
      <c r="F60" s="8"/>
      <c r="G60" s="8"/>
      <c r="H60" s="9"/>
      <c r="I60" s="9"/>
      <c r="J60" s="9"/>
      <c r="K60" s="10"/>
      <c r="L60" s="10"/>
      <c r="M60" s="9"/>
      <c r="N60" s="9"/>
      <c r="O60" s="9"/>
      <c r="P60"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60" s="9"/>
      <c r="R60" s="9"/>
      <c r="S60" s="38"/>
      <c r="T60" s="38"/>
      <c r="U60" s="38"/>
      <c r="V60" s="38"/>
      <c r="W60" s="38"/>
      <c r="X60" s="67" t="str">
        <f>IF(COUNTA(SalCommune[[#This Row],[N°]:[heures annuelles
selon contrat(s)]])=0,"",SalCommune[[#This Row],[Brut]]+SalCommune[[#This Row],[Autres Primes]]+SalCommune[[#This Row],[Part patronale]]-ABS(SalCommune[[#This Row],[Remboursement Mutualité]])-ABS(SalCommune[[#This Row],[Remboursement
Autres]]))</f>
        <v/>
      </c>
      <c r="Y60" s="38"/>
      <c r="Z60"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60" s="8"/>
      <c r="AB60" s="64"/>
      <c r="AC60"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60"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60" s="505"/>
      <c r="AF60" s="187"/>
      <c r="AG60" s="200" t="str">
        <f>IF(COUNTA(SalCommune[[#This Row],[N°]:[heures annuelles
selon contrat(s)]])=0,"",REVEX!$E$9)</f>
        <v/>
      </c>
      <c r="AH60" s="73" t="str">
        <f>IF(SalCommune[[#This Row],[Allocations fonctions]]="","",IF(ISNA(VLOOKUP(SalCommune[[#This Row],[Allocations fonctions]],DROPDOWN[Dropdown82],1,FALSE))=TRUE,"&lt;-- Veuillez choisir l'allocation parmis la liste déroulante.",""))</f>
        <v/>
      </c>
    </row>
    <row r="61" spans="1:34" x14ac:dyDescent="0.25">
      <c r="A61" s="73" t="str">
        <f>IF(SalCommune[[#This Row],[Statut]]="","",IF(ISNA(VLOOKUP(SalCommune[[#This Row],[Statut]],'Grille communale'!$B$3:$B$5,1,FALSE))=TRUE,"Veuillez choisir le statut parmis la liste déroulante",""))</f>
        <v/>
      </c>
      <c r="B61" s="8"/>
      <c r="C61" s="8"/>
      <c r="D61" s="8"/>
      <c r="E61" s="21"/>
      <c r="F61" s="8"/>
      <c r="G61" s="8"/>
      <c r="H61" s="9"/>
      <c r="I61" s="9"/>
      <c r="J61" s="9"/>
      <c r="K61" s="10"/>
      <c r="L61" s="10"/>
      <c r="M61" s="9"/>
      <c r="N61" s="9"/>
      <c r="O61" s="9"/>
      <c r="P61"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61" s="9"/>
      <c r="R61" s="9"/>
      <c r="S61" s="38"/>
      <c r="T61" s="38"/>
      <c r="U61" s="38"/>
      <c r="V61" s="38"/>
      <c r="W61" s="38"/>
      <c r="X61" s="67" t="str">
        <f>IF(COUNTA(SalCommune[[#This Row],[N°]:[heures annuelles
selon contrat(s)]])=0,"",SalCommune[[#This Row],[Brut]]+SalCommune[[#This Row],[Autres Primes]]+SalCommune[[#This Row],[Part patronale]]-ABS(SalCommune[[#This Row],[Remboursement Mutualité]])-ABS(SalCommune[[#This Row],[Remboursement
Autres]]))</f>
        <v/>
      </c>
      <c r="Y61" s="38"/>
      <c r="Z61"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61" s="8"/>
      <c r="AB61" s="64"/>
      <c r="AC61"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61"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61" s="505"/>
      <c r="AF61" s="187"/>
      <c r="AG61" s="200" t="str">
        <f>IF(COUNTA(SalCommune[[#This Row],[N°]:[heures annuelles
selon contrat(s)]])=0,"",REVEX!$E$9)</f>
        <v/>
      </c>
      <c r="AH61" s="73" t="str">
        <f>IF(SalCommune[[#This Row],[Allocations fonctions]]="","",IF(ISNA(VLOOKUP(SalCommune[[#This Row],[Allocations fonctions]],DROPDOWN[Dropdown82],1,FALSE))=TRUE,"&lt;-- Veuillez choisir l'allocation parmis la liste déroulante.",""))</f>
        <v/>
      </c>
    </row>
    <row r="62" spans="1:34" x14ac:dyDescent="0.25">
      <c r="A62" s="73" t="str">
        <f>IF(SalCommune[[#This Row],[Statut]]="","",IF(ISNA(VLOOKUP(SalCommune[[#This Row],[Statut]],'Grille communale'!$B$3:$B$5,1,FALSE))=TRUE,"Veuillez choisir le statut parmis la liste déroulante",""))</f>
        <v/>
      </c>
      <c r="B62" s="8"/>
      <c r="C62" s="8"/>
      <c r="D62" s="8"/>
      <c r="E62" s="21"/>
      <c r="F62" s="8"/>
      <c r="G62" s="8"/>
      <c r="H62" s="9"/>
      <c r="I62" s="9"/>
      <c r="J62" s="9"/>
      <c r="K62" s="10"/>
      <c r="L62" s="10"/>
      <c r="M62" s="9"/>
      <c r="N62" s="9"/>
      <c r="O62" s="9"/>
      <c r="P62"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62" s="9"/>
      <c r="R62" s="9"/>
      <c r="S62" s="38"/>
      <c r="T62" s="38"/>
      <c r="U62" s="38"/>
      <c r="V62" s="38"/>
      <c r="W62" s="38"/>
      <c r="X62" s="67" t="str">
        <f>IF(COUNTA(SalCommune[[#This Row],[N°]:[heures annuelles
selon contrat(s)]])=0,"",SalCommune[[#This Row],[Brut]]+SalCommune[[#This Row],[Autres Primes]]+SalCommune[[#This Row],[Part patronale]]-ABS(SalCommune[[#This Row],[Remboursement Mutualité]])-ABS(SalCommune[[#This Row],[Remboursement
Autres]]))</f>
        <v/>
      </c>
      <c r="Y62" s="38"/>
      <c r="Z62"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62" s="8"/>
      <c r="AB62" s="64"/>
      <c r="AC62"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62"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62" s="505"/>
      <c r="AF62" s="187"/>
      <c r="AG62" s="200" t="str">
        <f>IF(COUNTA(SalCommune[[#This Row],[N°]:[heures annuelles
selon contrat(s)]])=0,"",REVEX!$E$9)</f>
        <v/>
      </c>
      <c r="AH62" s="73" t="str">
        <f>IF(SalCommune[[#This Row],[Allocations fonctions]]="","",IF(ISNA(VLOOKUP(SalCommune[[#This Row],[Allocations fonctions]],DROPDOWN[Dropdown82],1,FALSE))=TRUE,"&lt;-- Veuillez choisir l'allocation parmis la liste déroulante.",""))</f>
        <v/>
      </c>
    </row>
    <row r="63" spans="1:34" x14ac:dyDescent="0.25">
      <c r="A63" s="73" t="str">
        <f>IF(SalCommune[[#This Row],[Statut]]="","",IF(ISNA(VLOOKUP(SalCommune[[#This Row],[Statut]],'Grille communale'!$B$3:$B$5,1,FALSE))=TRUE,"Veuillez choisir le statut parmis la liste déroulante",""))</f>
        <v/>
      </c>
      <c r="B63" s="8"/>
      <c r="C63" s="8"/>
      <c r="D63" s="8"/>
      <c r="E63" s="21"/>
      <c r="F63" s="8"/>
      <c r="G63" s="8"/>
      <c r="H63" s="9"/>
      <c r="I63" s="9"/>
      <c r="J63" s="9"/>
      <c r="K63" s="10"/>
      <c r="L63" s="10"/>
      <c r="M63" s="9"/>
      <c r="N63" s="9"/>
      <c r="O63" s="9"/>
      <c r="P63"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63" s="9"/>
      <c r="R63" s="9"/>
      <c r="S63" s="38"/>
      <c r="T63" s="38"/>
      <c r="U63" s="38"/>
      <c r="V63" s="38"/>
      <c r="W63" s="38"/>
      <c r="X63" s="67" t="str">
        <f>IF(COUNTA(SalCommune[[#This Row],[N°]:[heures annuelles
selon contrat(s)]])=0,"",SalCommune[[#This Row],[Brut]]+SalCommune[[#This Row],[Autres Primes]]+SalCommune[[#This Row],[Part patronale]]-ABS(SalCommune[[#This Row],[Remboursement Mutualité]])-ABS(SalCommune[[#This Row],[Remboursement
Autres]]))</f>
        <v/>
      </c>
      <c r="Y63" s="38"/>
      <c r="Z63"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63" s="8"/>
      <c r="AB63" s="64"/>
      <c r="AC63"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63"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63" s="505"/>
      <c r="AF63" s="187"/>
      <c r="AG63" s="200" t="str">
        <f>IF(COUNTA(SalCommune[[#This Row],[N°]:[heures annuelles
selon contrat(s)]])=0,"",REVEX!$E$9)</f>
        <v/>
      </c>
      <c r="AH63" s="73" t="str">
        <f>IF(SalCommune[[#This Row],[Allocations fonctions]]="","",IF(ISNA(VLOOKUP(SalCommune[[#This Row],[Allocations fonctions]],DROPDOWN[Dropdown82],1,FALSE))=TRUE,"&lt;-- Veuillez choisir l'allocation parmis la liste déroulante.",""))</f>
        <v/>
      </c>
    </row>
    <row r="64" spans="1:34" x14ac:dyDescent="0.25">
      <c r="A64" s="73" t="str">
        <f>IF(SalCommune[[#This Row],[Statut]]="","",IF(ISNA(VLOOKUP(SalCommune[[#This Row],[Statut]],'Grille communale'!$B$3:$B$5,1,FALSE))=TRUE,"Veuillez choisir le statut parmis la liste déroulante",""))</f>
        <v/>
      </c>
      <c r="B64" s="8"/>
      <c r="C64" s="8"/>
      <c r="D64" s="8"/>
      <c r="E64" s="21"/>
      <c r="F64" s="8"/>
      <c r="G64" s="8"/>
      <c r="H64" s="9"/>
      <c r="I64" s="9"/>
      <c r="J64" s="9"/>
      <c r="K64" s="10"/>
      <c r="L64" s="10"/>
      <c r="M64" s="9"/>
      <c r="N64" s="9"/>
      <c r="O64" s="9"/>
      <c r="P64"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64" s="9"/>
      <c r="R64" s="9"/>
      <c r="S64" s="38"/>
      <c r="T64" s="38"/>
      <c r="U64" s="38"/>
      <c r="V64" s="38"/>
      <c r="W64" s="38"/>
      <c r="X64" s="67" t="str">
        <f>IF(COUNTA(SalCommune[[#This Row],[N°]:[heures annuelles
selon contrat(s)]])=0,"",SalCommune[[#This Row],[Brut]]+SalCommune[[#This Row],[Autres Primes]]+SalCommune[[#This Row],[Part patronale]]-ABS(SalCommune[[#This Row],[Remboursement Mutualité]])-ABS(SalCommune[[#This Row],[Remboursement
Autres]]))</f>
        <v/>
      </c>
      <c r="Y64" s="38"/>
      <c r="Z64"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64" s="8"/>
      <c r="AB64" s="64"/>
      <c r="AC64"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64"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64" s="505"/>
      <c r="AF64" s="187"/>
      <c r="AG64" s="200" t="str">
        <f>IF(COUNTA(SalCommune[[#This Row],[N°]:[heures annuelles
selon contrat(s)]])=0,"",REVEX!$E$9)</f>
        <v/>
      </c>
      <c r="AH64" s="73" t="str">
        <f>IF(SalCommune[[#This Row],[Allocations fonctions]]="","",IF(ISNA(VLOOKUP(SalCommune[[#This Row],[Allocations fonctions]],DROPDOWN[Dropdown82],1,FALSE))=TRUE,"&lt;-- Veuillez choisir l'allocation parmis la liste déroulante.",""))</f>
        <v/>
      </c>
    </row>
    <row r="65" spans="1:34" x14ac:dyDescent="0.25">
      <c r="A65" s="73" t="str">
        <f>IF(SalCommune[[#This Row],[Statut]]="","",IF(ISNA(VLOOKUP(SalCommune[[#This Row],[Statut]],'Grille communale'!$B$3:$B$5,1,FALSE))=TRUE,"Veuillez choisir le statut parmis la liste déroulante",""))</f>
        <v/>
      </c>
      <c r="B65" s="8"/>
      <c r="C65" s="8"/>
      <c r="D65" s="8"/>
      <c r="E65" s="21"/>
      <c r="F65" s="8"/>
      <c r="G65" s="8"/>
      <c r="H65" s="9"/>
      <c r="I65" s="9"/>
      <c r="J65" s="9"/>
      <c r="K65" s="10"/>
      <c r="L65" s="10"/>
      <c r="M65" s="9"/>
      <c r="N65" s="9"/>
      <c r="O65" s="9"/>
      <c r="P65"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65" s="9"/>
      <c r="R65" s="9"/>
      <c r="S65" s="38"/>
      <c r="T65" s="38"/>
      <c r="U65" s="38"/>
      <c r="V65" s="38"/>
      <c r="W65" s="38"/>
      <c r="X65" s="67" t="str">
        <f>IF(COUNTA(SalCommune[[#This Row],[N°]:[heures annuelles
selon contrat(s)]])=0,"",SalCommune[[#This Row],[Brut]]+SalCommune[[#This Row],[Autres Primes]]+SalCommune[[#This Row],[Part patronale]]-ABS(SalCommune[[#This Row],[Remboursement Mutualité]])-ABS(SalCommune[[#This Row],[Remboursement
Autres]]))</f>
        <v/>
      </c>
      <c r="Y65" s="38"/>
      <c r="Z65"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65" s="8"/>
      <c r="AB65" s="64"/>
      <c r="AC65"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65"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65" s="505"/>
      <c r="AF65" s="187"/>
      <c r="AG65" s="200" t="str">
        <f>IF(COUNTA(SalCommune[[#This Row],[N°]:[heures annuelles
selon contrat(s)]])=0,"",REVEX!$E$9)</f>
        <v/>
      </c>
      <c r="AH65" s="73" t="str">
        <f>IF(SalCommune[[#This Row],[Allocations fonctions]]="","",IF(ISNA(VLOOKUP(SalCommune[[#This Row],[Allocations fonctions]],DROPDOWN[Dropdown82],1,FALSE))=TRUE,"&lt;-- Veuillez choisir l'allocation parmis la liste déroulante.",""))</f>
        <v/>
      </c>
    </row>
    <row r="66" spans="1:34" x14ac:dyDescent="0.25">
      <c r="A66" s="73" t="str">
        <f>IF(SalCommune[[#This Row],[Statut]]="","",IF(ISNA(VLOOKUP(SalCommune[[#This Row],[Statut]],'Grille communale'!$B$3:$B$5,1,FALSE))=TRUE,"Veuillez choisir le statut parmis la liste déroulante",""))</f>
        <v/>
      </c>
      <c r="B66" s="8"/>
      <c r="C66" s="8"/>
      <c r="D66" s="8"/>
      <c r="E66" s="21"/>
      <c r="F66" s="8"/>
      <c r="G66" s="8"/>
      <c r="H66" s="9"/>
      <c r="I66" s="9"/>
      <c r="J66" s="9"/>
      <c r="K66" s="10"/>
      <c r="L66" s="10"/>
      <c r="M66" s="9"/>
      <c r="N66" s="9"/>
      <c r="O66" s="9"/>
      <c r="P66"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66" s="9"/>
      <c r="R66" s="9"/>
      <c r="S66" s="38"/>
      <c r="T66" s="38"/>
      <c r="U66" s="38"/>
      <c r="V66" s="38"/>
      <c r="W66" s="38"/>
      <c r="X66" s="67" t="str">
        <f>IF(COUNTA(SalCommune[[#This Row],[N°]:[heures annuelles
selon contrat(s)]])=0,"",SalCommune[[#This Row],[Brut]]+SalCommune[[#This Row],[Autres Primes]]+SalCommune[[#This Row],[Part patronale]]-ABS(SalCommune[[#This Row],[Remboursement Mutualité]])-ABS(SalCommune[[#This Row],[Remboursement
Autres]]))</f>
        <v/>
      </c>
      <c r="Y66" s="38"/>
      <c r="Z66"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66" s="8"/>
      <c r="AB66" s="64"/>
      <c r="AC66"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66"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66" s="505"/>
      <c r="AF66" s="187"/>
      <c r="AG66" s="200" t="str">
        <f>IF(COUNTA(SalCommune[[#This Row],[N°]:[heures annuelles
selon contrat(s)]])=0,"",REVEX!$E$9)</f>
        <v/>
      </c>
      <c r="AH66" s="73" t="str">
        <f>IF(SalCommune[[#This Row],[Allocations fonctions]]="","",IF(ISNA(VLOOKUP(SalCommune[[#This Row],[Allocations fonctions]],DROPDOWN[Dropdown82],1,FALSE))=TRUE,"&lt;-- Veuillez choisir l'allocation parmis la liste déroulante.",""))</f>
        <v/>
      </c>
    </row>
    <row r="67" spans="1:34" x14ac:dyDescent="0.25">
      <c r="A67" s="73" t="str">
        <f>IF(SalCommune[[#This Row],[Statut]]="","",IF(ISNA(VLOOKUP(SalCommune[[#This Row],[Statut]],'Grille communale'!$B$3:$B$5,1,FALSE))=TRUE,"Veuillez choisir le statut parmis la liste déroulante",""))</f>
        <v/>
      </c>
      <c r="B67" s="8"/>
      <c r="C67" s="8"/>
      <c r="D67" s="8"/>
      <c r="E67" s="21"/>
      <c r="F67" s="8"/>
      <c r="G67" s="8"/>
      <c r="H67" s="9"/>
      <c r="I67" s="9"/>
      <c r="J67" s="9"/>
      <c r="K67" s="10"/>
      <c r="L67" s="10"/>
      <c r="M67" s="9"/>
      <c r="N67" s="9"/>
      <c r="O67" s="9"/>
      <c r="P67"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67" s="9"/>
      <c r="R67" s="9"/>
      <c r="S67" s="38"/>
      <c r="T67" s="38"/>
      <c r="U67" s="38"/>
      <c r="V67" s="38"/>
      <c r="W67" s="38"/>
      <c r="X67" s="67" t="str">
        <f>IF(COUNTA(SalCommune[[#This Row],[N°]:[heures annuelles
selon contrat(s)]])=0,"",SalCommune[[#This Row],[Brut]]+SalCommune[[#This Row],[Autres Primes]]+SalCommune[[#This Row],[Part patronale]]-ABS(SalCommune[[#This Row],[Remboursement Mutualité]])-ABS(SalCommune[[#This Row],[Remboursement
Autres]]))</f>
        <v/>
      </c>
      <c r="Y67" s="38"/>
      <c r="Z67"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67" s="8"/>
      <c r="AB67" s="64"/>
      <c r="AC67"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67"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67" s="505"/>
      <c r="AF67" s="187"/>
      <c r="AG67" s="200" t="str">
        <f>IF(COUNTA(SalCommune[[#This Row],[N°]:[heures annuelles
selon contrat(s)]])=0,"",REVEX!$E$9)</f>
        <v/>
      </c>
      <c r="AH67" s="73" t="str">
        <f>IF(SalCommune[[#This Row],[Allocations fonctions]]="","",IF(ISNA(VLOOKUP(SalCommune[[#This Row],[Allocations fonctions]],DROPDOWN[Dropdown82],1,FALSE))=TRUE,"&lt;-- Veuillez choisir l'allocation parmis la liste déroulante.",""))</f>
        <v/>
      </c>
    </row>
    <row r="68" spans="1:34" x14ac:dyDescent="0.25">
      <c r="A68" s="73" t="str">
        <f>IF(SalCommune[[#This Row],[Statut]]="","",IF(ISNA(VLOOKUP(SalCommune[[#This Row],[Statut]],'Grille communale'!$B$3:$B$5,1,FALSE))=TRUE,"Veuillez choisir le statut parmis la liste déroulante",""))</f>
        <v/>
      </c>
      <c r="B68" s="8"/>
      <c r="C68" s="8"/>
      <c r="D68" s="8"/>
      <c r="E68" s="21"/>
      <c r="F68" s="8"/>
      <c r="G68" s="8"/>
      <c r="H68" s="9"/>
      <c r="I68" s="9"/>
      <c r="J68" s="9"/>
      <c r="K68" s="10"/>
      <c r="L68" s="10"/>
      <c r="M68" s="9"/>
      <c r="N68" s="9"/>
      <c r="O68" s="9"/>
      <c r="P68"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68" s="9"/>
      <c r="R68" s="9"/>
      <c r="S68" s="38"/>
      <c r="T68" s="38"/>
      <c r="U68" s="38"/>
      <c r="V68" s="38"/>
      <c r="W68" s="38"/>
      <c r="X68" s="67" t="str">
        <f>IF(COUNTA(SalCommune[[#This Row],[N°]:[heures annuelles
selon contrat(s)]])=0,"",SalCommune[[#This Row],[Brut]]+SalCommune[[#This Row],[Autres Primes]]+SalCommune[[#This Row],[Part patronale]]-ABS(SalCommune[[#This Row],[Remboursement Mutualité]])-ABS(SalCommune[[#This Row],[Remboursement
Autres]]))</f>
        <v/>
      </c>
      <c r="Y68" s="38"/>
      <c r="Z68"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68" s="8"/>
      <c r="AB68" s="64"/>
      <c r="AC68"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68"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68" s="505"/>
      <c r="AF68" s="187"/>
      <c r="AG68" s="200" t="str">
        <f>IF(COUNTA(SalCommune[[#This Row],[N°]:[heures annuelles
selon contrat(s)]])=0,"",REVEX!$E$9)</f>
        <v/>
      </c>
      <c r="AH68" s="73" t="str">
        <f>IF(SalCommune[[#This Row],[Allocations fonctions]]="","",IF(ISNA(VLOOKUP(SalCommune[[#This Row],[Allocations fonctions]],DROPDOWN[Dropdown82],1,FALSE))=TRUE,"&lt;-- Veuillez choisir l'allocation parmis la liste déroulante.",""))</f>
        <v/>
      </c>
    </row>
    <row r="69" spans="1:34" x14ac:dyDescent="0.25">
      <c r="A69" s="73" t="str">
        <f>IF(SalCommune[[#This Row],[Statut]]="","",IF(ISNA(VLOOKUP(SalCommune[[#This Row],[Statut]],'Grille communale'!$B$3:$B$5,1,FALSE))=TRUE,"Veuillez choisir le statut parmis la liste déroulante",""))</f>
        <v/>
      </c>
      <c r="B69" s="8"/>
      <c r="C69" s="8"/>
      <c r="D69" s="8"/>
      <c r="E69" s="21"/>
      <c r="F69" s="8"/>
      <c r="G69" s="8"/>
      <c r="H69" s="9"/>
      <c r="I69" s="9"/>
      <c r="J69" s="9"/>
      <c r="K69" s="10"/>
      <c r="L69" s="10"/>
      <c r="M69" s="9"/>
      <c r="N69" s="9"/>
      <c r="O69" s="9"/>
      <c r="P69"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69" s="9"/>
      <c r="R69" s="9"/>
      <c r="S69" s="38"/>
      <c r="T69" s="38"/>
      <c r="U69" s="38"/>
      <c r="V69" s="38"/>
      <c r="W69" s="38"/>
      <c r="X69" s="67" t="str">
        <f>IF(COUNTA(SalCommune[[#This Row],[N°]:[heures annuelles
selon contrat(s)]])=0,"",SalCommune[[#This Row],[Brut]]+SalCommune[[#This Row],[Autres Primes]]+SalCommune[[#This Row],[Part patronale]]-ABS(SalCommune[[#This Row],[Remboursement Mutualité]])-ABS(SalCommune[[#This Row],[Remboursement
Autres]]))</f>
        <v/>
      </c>
      <c r="Y69" s="38"/>
      <c r="Z69"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69" s="8"/>
      <c r="AB69" s="64"/>
      <c r="AC69"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69"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69" s="505"/>
      <c r="AF69" s="187"/>
      <c r="AG69" s="200" t="str">
        <f>IF(COUNTA(SalCommune[[#This Row],[N°]:[heures annuelles
selon contrat(s)]])=0,"",REVEX!$E$9)</f>
        <v/>
      </c>
      <c r="AH69" s="73" t="str">
        <f>IF(SalCommune[[#This Row],[Allocations fonctions]]="","",IF(ISNA(VLOOKUP(SalCommune[[#This Row],[Allocations fonctions]],DROPDOWN[Dropdown82],1,FALSE))=TRUE,"&lt;-- Veuillez choisir l'allocation parmis la liste déroulante.",""))</f>
        <v/>
      </c>
    </row>
    <row r="70" spans="1:34" x14ac:dyDescent="0.25">
      <c r="A70" s="73" t="str">
        <f>IF(SalCommune[[#This Row],[Statut]]="","",IF(ISNA(VLOOKUP(SalCommune[[#This Row],[Statut]],'Grille communale'!$B$3:$B$5,1,FALSE))=TRUE,"Veuillez choisir le statut parmis la liste déroulante",""))</f>
        <v/>
      </c>
      <c r="B70" s="8"/>
      <c r="C70" s="8"/>
      <c r="D70" s="8"/>
      <c r="E70" s="21"/>
      <c r="F70" s="8"/>
      <c r="G70" s="8"/>
      <c r="H70" s="9"/>
      <c r="I70" s="9"/>
      <c r="J70" s="9"/>
      <c r="K70" s="10"/>
      <c r="L70" s="10"/>
      <c r="M70" s="9"/>
      <c r="N70" s="9"/>
      <c r="O70" s="9"/>
      <c r="P70"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70" s="9"/>
      <c r="R70" s="9"/>
      <c r="S70" s="38"/>
      <c r="T70" s="38"/>
      <c r="U70" s="38"/>
      <c r="V70" s="38"/>
      <c r="W70" s="38"/>
      <c r="X70" s="67" t="str">
        <f>IF(COUNTA(SalCommune[[#This Row],[N°]:[heures annuelles
selon contrat(s)]])=0,"",SalCommune[[#This Row],[Brut]]+SalCommune[[#This Row],[Autres Primes]]+SalCommune[[#This Row],[Part patronale]]-ABS(SalCommune[[#This Row],[Remboursement Mutualité]])-ABS(SalCommune[[#This Row],[Remboursement
Autres]]))</f>
        <v/>
      </c>
      <c r="Y70" s="38"/>
      <c r="Z70"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70" s="8"/>
      <c r="AB70" s="64"/>
      <c r="AC70"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70"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70" s="505"/>
      <c r="AF70" s="187"/>
      <c r="AG70" s="200" t="str">
        <f>IF(COUNTA(SalCommune[[#This Row],[N°]:[heures annuelles
selon contrat(s)]])=0,"",REVEX!$E$9)</f>
        <v/>
      </c>
      <c r="AH70" s="73" t="str">
        <f>IF(SalCommune[[#This Row],[Allocations fonctions]]="","",IF(ISNA(VLOOKUP(SalCommune[[#This Row],[Allocations fonctions]],DROPDOWN[Dropdown82],1,FALSE))=TRUE,"&lt;-- Veuillez choisir l'allocation parmis la liste déroulante.",""))</f>
        <v/>
      </c>
    </row>
    <row r="71" spans="1:34" x14ac:dyDescent="0.25">
      <c r="A71" s="73" t="str">
        <f>IF(SalCommune[[#This Row],[Statut]]="","",IF(ISNA(VLOOKUP(SalCommune[[#This Row],[Statut]],'Grille communale'!$B$3:$B$5,1,FALSE))=TRUE,"Veuillez choisir le statut parmis la liste déroulante",""))</f>
        <v/>
      </c>
      <c r="B71" s="8"/>
      <c r="C71" s="8"/>
      <c r="D71" s="8"/>
      <c r="E71" s="21"/>
      <c r="F71" s="8"/>
      <c r="G71" s="8"/>
      <c r="H71" s="9"/>
      <c r="I71" s="9"/>
      <c r="J71" s="9"/>
      <c r="K71" s="10"/>
      <c r="L71" s="10"/>
      <c r="M71" s="9"/>
      <c r="N71" s="9"/>
      <c r="O71" s="9"/>
      <c r="P71"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71" s="9"/>
      <c r="R71" s="9"/>
      <c r="S71" s="38"/>
      <c r="T71" s="38"/>
      <c r="U71" s="38"/>
      <c r="V71" s="38"/>
      <c r="W71" s="38"/>
      <c r="X71" s="67" t="str">
        <f>IF(COUNTA(SalCommune[[#This Row],[N°]:[heures annuelles
selon contrat(s)]])=0,"",SalCommune[[#This Row],[Brut]]+SalCommune[[#This Row],[Autres Primes]]+SalCommune[[#This Row],[Part patronale]]-ABS(SalCommune[[#This Row],[Remboursement Mutualité]])-ABS(SalCommune[[#This Row],[Remboursement
Autres]]))</f>
        <v/>
      </c>
      <c r="Y71" s="38"/>
      <c r="Z71"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71" s="8"/>
      <c r="AB71" s="64"/>
      <c r="AC71"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71"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71" s="505"/>
      <c r="AF71" s="187"/>
      <c r="AG71" s="200" t="str">
        <f>IF(COUNTA(SalCommune[[#This Row],[N°]:[heures annuelles
selon contrat(s)]])=0,"",REVEX!$E$9)</f>
        <v/>
      </c>
      <c r="AH71" s="73" t="str">
        <f>IF(SalCommune[[#This Row],[Allocations fonctions]]="","",IF(ISNA(VLOOKUP(SalCommune[[#This Row],[Allocations fonctions]],DROPDOWN[Dropdown82],1,FALSE))=TRUE,"&lt;-- Veuillez choisir l'allocation parmis la liste déroulante.",""))</f>
        <v/>
      </c>
    </row>
    <row r="72" spans="1:34" x14ac:dyDescent="0.25">
      <c r="A72" s="73" t="str">
        <f>IF(SalCommune[[#This Row],[Statut]]="","",IF(ISNA(VLOOKUP(SalCommune[[#This Row],[Statut]],'Grille communale'!$B$3:$B$5,1,FALSE))=TRUE,"Veuillez choisir le statut parmis la liste déroulante",""))</f>
        <v/>
      </c>
      <c r="B72" s="8"/>
      <c r="C72" s="8"/>
      <c r="D72" s="8"/>
      <c r="E72" s="21"/>
      <c r="F72" s="8"/>
      <c r="G72" s="8"/>
      <c r="H72" s="9"/>
      <c r="I72" s="9"/>
      <c r="J72" s="9"/>
      <c r="K72" s="10"/>
      <c r="L72" s="10"/>
      <c r="M72" s="9"/>
      <c r="N72" s="9"/>
      <c r="O72" s="9"/>
      <c r="P72"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72" s="9"/>
      <c r="R72" s="9"/>
      <c r="S72" s="38"/>
      <c r="T72" s="38"/>
      <c r="U72" s="38"/>
      <c r="V72" s="38"/>
      <c r="W72" s="38"/>
      <c r="X72" s="67" t="str">
        <f>IF(COUNTA(SalCommune[[#This Row],[N°]:[heures annuelles
selon contrat(s)]])=0,"",SalCommune[[#This Row],[Brut]]+SalCommune[[#This Row],[Autres Primes]]+SalCommune[[#This Row],[Part patronale]]-ABS(SalCommune[[#This Row],[Remboursement Mutualité]])-ABS(SalCommune[[#This Row],[Remboursement
Autres]]))</f>
        <v/>
      </c>
      <c r="Y72" s="38"/>
      <c r="Z72"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72" s="8"/>
      <c r="AB72" s="64"/>
      <c r="AC72"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72"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72" s="505"/>
      <c r="AF72" s="187"/>
      <c r="AG72" s="200" t="str">
        <f>IF(COUNTA(SalCommune[[#This Row],[N°]:[heures annuelles
selon contrat(s)]])=0,"",REVEX!$E$9)</f>
        <v/>
      </c>
      <c r="AH72" s="73" t="str">
        <f>IF(SalCommune[[#This Row],[Allocations fonctions]]="","",IF(ISNA(VLOOKUP(SalCommune[[#This Row],[Allocations fonctions]],DROPDOWN[Dropdown82],1,FALSE))=TRUE,"&lt;-- Veuillez choisir l'allocation parmis la liste déroulante.",""))</f>
        <v/>
      </c>
    </row>
    <row r="73" spans="1:34" x14ac:dyDescent="0.25">
      <c r="A73" s="73" t="str">
        <f>IF(SalCommune[[#This Row],[Statut]]="","",IF(ISNA(VLOOKUP(SalCommune[[#This Row],[Statut]],'Grille communale'!$B$3:$B$5,1,FALSE))=TRUE,"Veuillez choisir le statut parmis la liste déroulante",""))</f>
        <v/>
      </c>
      <c r="B73" s="8"/>
      <c r="C73" s="8"/>
      <c r="D73" s="8"/>
      <c r="E73" s="21"/>
      <c r="F73" s="8"/>
      <c r="G73" s="8"/>
      <c r="H73" s="9"/>
      <c r="I73" s="9"/>
      <c r="J73" s="9"/>
      <c r="K73" s="10"/>
      <c r="L73" s="10"/>
      <c r="M73" s="9"/>
      <c r="N73" s="9"/>
      <c r="O73" s="9"/>
      <c r="P73"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73" s="9"/>
      <c r="R73" s="9"/>
      <c r="S73" s="38"/>
      <c r="T73" s="38"/>
      <c r="U73" s="38"/>
      <c r="V73" s="38"/>
      <c r="W73" s="38"/>
      <c r="X73" s="67" t="str">
        <f>IF(COUNTA(SalCommune[[#This Row],[N°]:[heures annuelles
selon contrat(s)]])=0,"",SalCommune[[#This Row],[Brut]]+SalCommune[[#This Row],[Autres Primes]]+SalCommune[[#This Row],[Part patronale]]-ABS(SalCommune[[#This Row],[Remboursement Mutualité]])-ABS(SalCommune[[#This Row],[Remboursement
Autres]]))</f>
        <v/>
      </c>
      <c r="Y73" s="38"/>
      <c r="Z73"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73" s="8"/>
      <c r="AB73" s="64"/>
      <c r="AC73"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73"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73" s="505"/>
      <c r="AF73" s="187"/>
      <c r="AG73" s="200" t="str">
        <f>IF(COUNTA(SalCommune[[#This Row],[N°]:[heures annuelles
selon contrat(s)]])=0,"",REVEX!$E$9)</f>
        <v/>
      </c>
      <c r="AH73" s="73" t="str">
        <f>IF(SalCommune[[#This Row],[Allocations fonctions]]="","",IF(ISNA(VLOOKUP(SalCommune[[#This Row],[Allocations fonctions]],DROPDOWN[Dropdown82],1,FALSE))=TRUE,"&lt;-- Veuillez choisir l'allocation parmis la liste déroulante.",""))</f>
        <v/>
      </c>
    </row>
    <row r="74" spans="1:34" x14ac:dyDescent="0.25">
      <c r="A74" s="73" t="str">
        <f>IF(SalCommune[[#This Row],[Statut]]="","",IF(ISNA(VLOOKUP(SalCommune[[#This Row],[Statut]],'Grille communale'!$B$3:$B$5,1,FALSE))=TRUE,"Veuillez choisir le statut parmis la liste déroulante",""))</f>
        <v/>
      </c>
      <c r="B74" s="8"/>
      <c r="C74" s="8"/>
      <c r="D74" s="8"/>
      <c r="E74" s="21"/>
      <c r="F74" s="8"/>
      <c r="G74" s="8"/>
      <c r="H74" s="9"/>
      <c r="I74" s="9"/>
      <c r="J74" s="9"/>
      <c r="K74" s="10"/>
      <c r="L74" s="10"/>
      <c r="M74" s="9"/>
      <c r="N74" s="9"/>
      <c r="O74" s="9"/>
      <c r="P74"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74" s="9"/>
      <c r="R74" s="9"/>
      <c r="S74" s="38"/>
      <c r="T74" s="38"/>
      <c r="U74" s="38"/>
      <c r="V74" s="38"/>
      <c r="W74" s="38"/>
      <c r="X74" s="67" t="str">
        <f>IF(COUNTA(SalCommune[[#This Row],[N°]:[heures annuelles
selon contrat(s)]])=0,"",SalCommune[[#This Row],[Brut]]+SalCommune[[#This Row],[Autres Primes]]+SalCommune[[#This Row],[Part patronale]]-ABS(SalCommune[[#This Row],[Remboursement Mutualité]])-ABS(SalCommune[[#This Row],[Remboursement
Autres]]))</f>
        <v/>
      </c>
      <c r="Y74" s="38"/>
      <c r="Z74"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74" s="8"/>
      <c r="AB74" s="64"/>
      <c r="AC74"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74"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74" s="505"/>
      <c r="AF74" s="187"/>
      <c r="AG74" s="200" t="str">
        <f>IF(COUNTA(SalCommune[[#This Row],[N°]:[heures annuelles
selon contrat(s)]])=0,"",REVEX!$E$9)</f>
        <v/>
      </c>
      <c r="AH74" s="73" t="str">
        <f>IF(SalCommune[[#This Row],[Allocations fonctions]]="","",IF(ISNA(VLOOKUP(SalCommune[[#This Row],[Allocations fonctions]],DROPDOWN[Dropdown82],1,FALSE))=TRUE,"&lt;-- Veuillez choisir l'allocation parmis la liste déroulante.",""))</f>
        <v/>
      </c>
    </row>
    <row r="75" spans="1:34" x14ac:dyDescent="0.25">
      <c r="A75" s="73" t="str">
        <f>IF(SalCommune[[#This Row],[Statut]]="","",IF(ISNA(VLOOKUP(SalCommune[[#This Row],[Statut]],'Grille communale'!$B$3:$B$5,1,FALSE))=TRUE,"Veuillez choisir le statut parmis la liste déroulante",""))</f>
        <v/>
      </c>
      <c r="B75" s="8"/>
      <c r="C75" s="8"/>
      <c r="D75" s="8"/>
      <c r="E75" s="21"/>
      <c r="F75" s="8"/>
      <c r="G75" s="8"/>
      <c r="H75" s="9"/>
      <c r="I75" s="9"/>
      <c r="J75" s="9"/>
      <c r="K75" s="10"/>
      <c r="L75" s="10"/>
      <c r="M75" s="9"/>
      <c r="N75" s="9"/>
      <c r="O75" s="9"/>
      <c r="P75"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75" s="9"/>
      <c r="R75" s="9"/>
      <c r="S75" s="38"/>
      <c r="T75" s="38"/>
      <c r="U75" s="38"/>
      <c r="V75" s="38"/>
      <c r="W75" s="38"/>
      <c r="X75" s="67" t="str">
        <f>IF(COUNTA(SalCommune[[#This Row],[N°]:[heures annuelles
selon contrat(s)]])=0,"",SalCommune[[#This Row],[Brut]]+SalCommune[[#This Row],[Autres Primes]]+SalCommune[[#This Row],[Part patronale]]-ABS(SalCommune[[#This Row],[Remboursement Mutualité]])-ABS(SalCommune[[#This Row],[Remboursement
Autres]]))</f>
        <v/>
      </c>
      <c r="Y75" s="38"/>
      <c r="Z75"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75" s="8"/>
      <c r="AB75" s="64"/>
      <c r="AC75"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75"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75" s="505"/>
      <c r="AF75" s="187"/>
      <c r="AG75" s="200" t="str">
        <f>IF(COUNTA(SalCommune[[#This Row],[N°]:[heures annuelles
selon contrat(s)]])=0,"",REVEX!$E$9)</f>
        <v/>
      </c>
      <c r="AH75" s="73" t="str">
        <f>IF(SalCommune[[#This Row],[Allocations fonctions]]="","",IF(ISNA(VLOOKUP(SalCommune[[#This Row],[Allocations fonctions]],DROPDOWN[Dropdown82],1,FALSE))=TRUE,"&lt;-- Veuillez choisir l'allocation parmis la liste déroulante.",""))</f>
        <v/>
      </c>
    </row>
    <row r="76" spans="1:34" x14ac:dyDescent="0.25">
      <c r="A76" s="73" t="str">
        <f>IF(SalCommune[[#This Row],[Statut]]="","",IF(ISNA(VLOOKUP(SalCommune[[#This Row],[Statut]],'Grille communale'!$B$3:$B$5,1,FALSE))=TRUE,"Veuillez choisir le statut parmis la liste déroulante",""))</f>
        <v/>
      </c>
      <c r="B76" s="8"/>
      <c r="C76" s="8"/>
      <c r="D76" s="8"/>
      <c r="E76" s="21"/>
      <c r="F76" s="8"/>
      <c r="G76" s="8"/>
      <c r="H76" s="9"/>
      <c r="I76" s="9"/>
      <c r="J76" s="9"/>
      <c r="K76" s="10"/>
      <c r="L76" s="10"/>
      <c r="M76" s="9"/>
      <c r="N76" s="9"/>
      <c r="O76" s="9"/>
      <c r="P76"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76" s="9"/>
      <c r="R76" s="9"/>
      <c r="S76" s="38"/>
      <c r="T76" s="38"/>
      <c r="U76" s="38"/>
      <c r="V76" s="38"/>
      <c r="W76" s="38"/>
      <c r="X76" s="67" t="str">
        <f>IF(COUNTA(SalCommune[[#This Row],[N°]:[heures annuelles
selon contrat(s)]])=0,"",SalCommune[[#This Row],[Brut]]+SalCommune[[#This Row],[Autres Primes]]+SalCommune[[#This Row],[Part patronale]]-ABS(SalCommune[[#This Row],[Remboursement Mutualité]])-ABS(SalCommune[[#This Row],[Remboursement
Autres]]))</f>
        <v/>
      </c>
      <c r="Y76" s="38"/>
      <c r="Z76"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76" s="8"/>
      <c r="AB76" s="64"/>
      <c r="AC76"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76"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76" s="505"/>
      <c r="AF76" s="187"/>
      <c r="AG76" s="200" t="str">
        <f>IF(COUNTA(SalCommune[[#This Row],[N°]:[heures annuelles
selon contrat(s)]])=0,"",REVEX!$E$9)</f>
        <v/>
      </c>
      <c r="AH76" s="73" t="str">
        <f>IF(SalCommune[[#This Row],[Allocations fonctions]]="","",IF(ISNA(VLOOKUP(SalCommune[[#This Row],[Allocations fonctions]],DROPDOWN[Dropdown82],1,FALSE))=TRUE,"&lt;-- Veuillez choisir l'allocation parmis la liste déroulante.",""))</f>
        <v/>
      </c>
    </row>
    <row r="77" spans="1:34" x14ac:dyDescent="0.25">
      <c r="A77" s="73" t="str">
        <f>IF(SalCommune[[#This Row],[Statut]]="","",IF(ISNA(VLOOKUP(SalCommune[[#This Row],[Statut]],'Grille communale'!$B$3:$B$5,1,FALSE))=TRUE,"Veuillez choisir le statut parmis la liste déroulante",""))</f>
        <v/>
      </c>
      <c r="B77" s="8"/>
      <c r="C77" s="8"/>
      <c r="D77" s="8"/>
      <c r="E77" s="21"/>
      <c r="F77" s="8"/>
      <c r="G77" s="8"/>
      <c r="H77" s="9"/>
      <c r="I77" s="9"/>
      <c r="J77" s="9"/>
      <c r="K77" s="10"/>
      <c r="L77" s="10"/>
      <c r="M77" s="9"/>
      <c r="N77" s="9"/>
      <c r="O77" s="9"/>
      <c r="P77"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77" s="9"/>
      <c r="R77" s="9"/>
      <c r="S77" s="38"/>
      <c r="T77" s="38"/>
      <c r="U77" s="38"/>
      <c r="V77" s="38"/>
      <c r="W77" s="38"/>
      <c r="X77" s="67" t="str">
        <f>IF(COUNTA(SalCommune[[#This Row],[N°]:[heures annuelles
selon contrat(s)]])=0,"",SalCommune[[#This Row],[Brut]]+SalCommune[[#This Row],[Autres Primes]]+SalCommune[[#This Row],[Part patronale]]-ABS(SalCommune[[#This Row],[Remboursement Mutualité]])-ABS(SalCommune[[#This Row],[Remboursement
Autres]]))</f>
        <v/>
      </c>
      <c r="Y77" s="38"/>
      <c r="Z77"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77" s="8"/>
      <c r="AB77" s="64"/>
      <c r="AC77"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77"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77" s="505"/>
      <c r="AF77" s="187"/>
      <c r="AG77" s="200" t="str">
        <f>IF(COUNTA(SalCommune[[#This Row],[N°]:[heures annuelles
selon contrat(s)]])=0,"",REVEX!$E$9)</f>
        <v/>
      </c>
      <c r="AH77" s="73" t="str">
        <f>IF(SalCommune[[#This Row],[Allocations fonctions]]="","",IF(ISNA(VLOOKUP(SalCommune[[#This Row],[Allocations fonctions]],DROPDOWN[Dropdown82],1,FALSE))=TRUE,"&lt;-- Veuillez choisir l'allocation parmis la liste déroulante.",""))</f>
        <v/>
      </c>
    </row>
    <row r="78" spans="1:34" x14ac:dyDescent="0.25">
      <c r="A78" s="73" t="str">
        <f>IF(SalCommune[[#This Row],[Statut]]="","",IF(ISNA(VLOOKUP(SalCommune[[#This Row],[Statut]],'Grille communale'!$B$3:$B$5,1,FALSE))=TRUE,"Veuillez choisir le statut parmis la liste déroulante",""))</f>
        <v/>
      </c>
      <c r="B78" s="8"/>
      <c r="C78" s="8"/>
      <c r="D78" s="8"/>
      <c r="E78" s="21"/>
      <c r="F78" s="8"/>
      <c r="G78" s="8"/>
      <c r="H78" s="9"/>
      <c r="I78" s="9"/>
      <c r="J78" s="9"/>
      <c r="K78" s="10"/>
      <c r="L78" s="10"/>
      <c r="M78" s="9"/>
      <c r="N78" s="9"/>
      <c r="O78" s="9"/>
      <c r="P78"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78" s="9"/>
      <c r="R78" s="9"/>
      <c r="S78" s="38"/>
      <c r="T78" s="38"/>
      <c r="U78" s="38"/>
      <c r="V78" s="38"/>
      <c r="W78" s="38"/>
      <c r="X78" s="67" t="str">
        <f>IF(COUNTA(SalCommune[[#This Row],[N°]:[heures annuelles
selon contrat(s)]])=0,"",SalCommune[[#This Row],[Brut]]+SalCommune[[#This Row],[Autres Primes]]+SalCommune[[#This Row],[Part patronale]]-ABS(SalCommune[[#This Row],[Remboursement Mutualité]])-ABS(SalCommune[[#This Row],[Remboursement
Autres]]))</f>
        <v/>
      </c>
      <c r="Y78" s="38"/>
      <c r="Z78"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78" s="8"/>
      <c r="AB78" s="64"/>
      <c r="AC78"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78"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78" s="505"/>
      <c r="AF78" s="187"/>
      <c r="AG78" s="200" t="str">
        <f>IF(COUNTA(SalCommune[[#This Row],[N°]:[heures annuelles
selon contrat(s)]])=0,"",REVEX!$E$9)</f>
        <v/>
      </c>
      <c r="AH78" s="73" t="str">
        <f>IF(SalCommune[[#This Row],[Allocations fonctions]]="","",IF(ISNA(VLOOKUP(SalCommune[[#This Row],[Allocations fonctions]],DROPDOWN[Dropdown82],1,FALSE))=TRUE,"&lt;-- Veuillez choisir l'allocation parmis la liste déroulante.",""))</f>
        <v/>
      </c>
    </row>
    <row r="79" spans="1:34" x14ac:dyDescent="0.25">
      <c r="A79" s="73" t="str">
        <f>IF(SalCommune[[#This Row],[Statut]]="","",IF(ISNA(VLOOKUP(SalCommune[[#This Row],[Statut]],'Grille communale'!$B$3:$B$5,1,FALSE))=TRUE,"Veuillez choisir le statut parmis la liste déroulante",""))</f>
        <v/>
      </c>
      <c r="B79" s="8"/>
      <c r="C79" s="8"/>
      <c r="D79" s="8"/>
      <c r="E79" s="21"/>
      <c r="F79" s="8"/>
      <c r="G79" s="8"/>
      <c r="H79" s="9"/>
      <c r="I79" s="9"/>
      <c r="J79" s="9"/>
      <c r="K79" s="10"/>
      <c r="L79" s="10"/>
      <c r="M79" s="9"/>
      <c r="N79" s="9"/>
      <c r="O79" s="9"/>
      <c r="P79"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79" s="9"/>
      <c r="R79" s="9"/>
      <c r="S79" s="38"/>
      <c r="T79" s="38"/>
      <c r="U79" s="38"/>
      <c r="V79" s="38"/>
      <c r="W79" s="38"/>
      <c r="X79" s="67" t="str">
        <f>IF(COUNTA(SalCommune[[#This Row],[N°]:[heures annuelles
selon contrat(s)]])=0,"",SalCommune[[#This Row],[Brut]]+SalCommune[[#This Row],[Autres Primes]]+SalCommune[[#This Row],[Part patronale]]-ABS(SalCommune[[#This Row],[Remboursement Mutualité]])-ABS(SalCommune[[#This Row],[Remboursement
Autres]]))</f>
        <v/>
      </c>
      <c r="Y79" s="38"/>
      <c r="Z79"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79" s="8"/>
      <c r="AB79" s="64"/>
      <c r="AC79"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79"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79" s="505"/>
      <c r="AF79" s="187"/>
      <c r="AG79" s="200" t="str">
        <f>IF(COUNTA(SalCommune[[#This Row],[N°]:[heures annuelles
selon contrat(s)]])=0,"",REVEX!$E$9)</f>
        <v/>
      </c>
      <c r="AH79" s="73" t="str">
        <f>IF(SalCommune[[#This Row],[Allocations fonctions]]="","",IF(ISNA(VLOOKUP(SalCommune[[#This Row],[Allocations fonctions]],DROPDOWN[Dropdown82],1,FALSE))=TRUE,"&lt;-- Veuillez choisir l'allocation parmis la liste déroulante.",""))</f>
        <v/>
      </c>
    </row>
    <row r="80" spans="1:34" x14ac:dyDescent="0.25">
      <c r="A80" s="73" t="str">
        <f>IF(SalCommune[[#This Row],[Statut]]="","",IF(ISNA(VLOOKUP(SalCommune[[#This Row],[Statut]],'Grille communale'!$B$3:$B$5,1,FALSE))=TRUE,"Veuillez choisir le statut parmis la liste déroulante",""))</f>
        <v/>
      </c>
      <c r="B80" s="8"/>
      <c r="C80" s="8"/>
      <c r="D80" s="8"/>
      <c r="E80" s="21"/>
      <c r="F80" s="8"/>
      <c r="G80" s="8"/>
      <c r="H80" s="9"/>
      <c r="I80" s="9"/>
      <c r="J80" s="9"/>
      <c r="K80" s="10"/>
      <c r="L80" s="10"/>
      <c r="M80" s="9"/>
      <c r="N80" s="9"/>
      <c r="O80" s="9"/>
      <c r="P80"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80" s="9"/>
      <c r="R80" s="9"/>
      <c r="S80" s="38"/>
      <c r="T80" s="38"/>
      <c r="U80" s="38"/>
      <c r="V80" s="38"/>
      <c r="W80" s="38"/>
      <c r="X80" s="67" t="str">
        <f>IF(COUNTA(SalCommune[[#This Row],[N°]:[heures annuelles
selon contrat(s)]])=0,"",SalCommune[[#This Row],[Brut]]+SalCommune[[#This Row],[Autres Primes]]+SalCommune[[#This Row],[Part patronale]]-ABS(SalCommune[[#This Row],[Remboursement Mutualité]])-ABS(SalCommune[[#This Row],[Remboursement
Autres]]))</f>
        <v/>
      </c>
      <c r="Y80" s="38"/>
      <c r="Z80"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80" s="8"/>
      <c r="AB80" s="64"/>
      <c r="AC80"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80"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80" s="505"/>
      <c r="AF80" s="187"/>
      <c r="AG80" s="200" t="str">
        <f>IF(COUNTA(SalCommune[[#This Row],[N°]:[heures annuelles
selon contrat(s)]])=0,"",REVEX!$E$9)</f>
        <v/>
      </c>
      <c r="AH80" s="73" t="str">
        <f>IF(SalCommune[[#This Row],[Allocations fonctions]]="","",IF(ISNA(VLOOKUP(SalCommune[[#This Row],[Allocations fonctions]],DROPDOWN[Dropdown82],1,FALSE))=TRUE,"&lt;-- Veuillez choisir l'allocation parmis la liste déroulante.",""))</f>
        <v/>
      </c>
    </row>
    <row r="81" spans="1:34" x14ac:dyDescent="0.25">
      <c r="A81" s="73" t="str">
        <f>IF(SalCommune[[#This Row],[Statut]]="","",IF(ISNA(VLOOKUP(SalCommune[[#This Row],[Statut]],'Grille communale'!$B$3:$B$5,1,FALSE))=TRUE,"Veuillez choisir le statut parmis la liste déroulante",""))</f>
        <v/>
      </c>
      <c r="B81" s="8"/>
      <c r="C81" s="8"/>
      <c r="D81" s="8"/>
      <c r="E81" s="21"/>
      <c r="F81" s="8"/>
      <c r="G81" s="8"/>
      <c r="H81" s="9"/>
      <c r="I81" s="9"/>
      <c r="J81" s="9"/>
      <c r="K81" s="10"/>
      <c r="L81" s="10"/>
      <c r="M81" s="9"/>
      <c r="N81" s="9"/>
      <c r="O81" s="9"/>
      <c r="P81"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81" s="9"/>
      <c r="R81" s="9"/>
      <c r="S81" s="38"/>
      <c r="T81" s="38"/>
      <c r="U81" s="38"/>
      <c r="V81" s="38"/>
      <c r="W81" s="38"/>
      <c r="X81" s="67" t="str">
        <f>IF(COUNTA(SalCommune[[#This Row],[N°]:[heures annuelles
selon contrat(s)]])=0,"",SalCommune[[#This Row],[Brut]]+SalCommune[[#This Row],[Autres Primes]]+SalCommune[[#This Row],[Part patronale]]-ABS(SalCommune[[#This Row],[Remboursement Mutualité]])-ABS(SalCommune[[#This Row],[Remboursement
Autres]]))</f>
        <v/>
      </c>
      <c r="Y81" s="38"/>
      <c r="Z81"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81" s="8"/>
      <c r="AB81" s="64"/>
      <c r="AC81"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81"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81" s="505"/>
      <c r="AF81" s="187"/>
      <c r="AG81" s="200" t="str">
        <f>IF(COUNTA(SalCommune[[#This Row],[N°]:[heures annuelles
selon contrat(s)]])=0,"",REVEX!$E$9)</f>
        <v/>
      </c>
      <c r="AH81" s="73" t="str">
        <f>IF(SalCommune[[#This Row],[Allocations fonctions]]="","",IF(ISNA(VLOOKUP(SalCommune[[#This Row],[Allocations fonctions]],DROPDOWN[Dropdown82],1,FALSE))=TRUE,"&lt;-- Veuillez choisir l'allocation parmis la liste déroulante.",""))</f>
        <v/>
      </c>
    </row>
    <row r="82" spans="1:34" x14ac:dyDescent="0.25">
      <c r="A82" s="73" t="str">
        <f>IF(SalCommune[[#This Row],[Statut]]="","",IF(ISNA(VLOOKUP(SalCommune[[#This Row],[Statut]],'Grille communale'!$B$3:$B$5,1,FALSE))=TRUE,"Veuillez choisir le statut parmis la liste déroulante",""))</f>
        <v/>
      </c>
      <c r="B82" s="8"/>
      <c r="C82" s="8"/>
      <c r="D82" s="8"/>
      <c r="E82" s="21"/>
      <c r="F82" s="8"/>
      <c r="G82" s="8"/>
      <c r="H82" s="9"/>
      <c r="I82" s="9"/>
      <c r="J82" s="9"/>
      <c r="K82" s="10"/>
      <c r="L82" s="10"/>
      <c r="M82" s="9"/>
      <c r="N82" s="9"/>
      <c r="O82" s="9"/>
      <c r="P82"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82" s="9"/>
      <c r="R82" s="9"/>
      <c r="S82" s="38"/>
      <c r="T82" s="38"/>
      <c r="U82" s="38"/>
      <c r="V82" s="38"/>
      <c r="W82" s="38"/>
      <c r="X82" s="67" t="str">
        <f>IF(COUNTA(SalCommune[[#This Row],[N°]:[heures annuelles
selon contrat(s)]])=0,"",SalCommune[[#This Row],[Brut]]+SalCommune[[#This Row],[Autres Primes]]+SalCommune[[#This Row],[Part patronale]]-ABS(SalCommune[[#This Row],[Remboursement Mutualité]])-ABS(SalCommune[[#This Row],[Remboursement
Autres]]))</f>
        <v/>
      </c>
      <c r="Y82" s="38"/>
      <c r="Z82"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82" s="8"/>
      <c r="AB82" s="64"/>
      <c r="AC82"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82"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82" s="505"/>
      <c r="AF82" s="187"/>
      <c r="AG82" s="200" t="str">
        <f>IF(COUNTA(SalCommune[[#This Row],[N°]:[heures annuelles
selon contrat(s)]])=0,"",REVEX!$E$9)</f>
        <v/>
      </c>
      <c r="AH82" s="73" t="str">
        <f>IF(SalCommune[[#This Row],[Allocations fonctions]]="","",IF(ISNA(VLOOKUP(SalCommune[[#This Row],[Allocations fonctions]],DROPDOWN[Dropdown82],1,FALSE))=TRUE,"&lt;-- Veuillez choisir l'allocation parmis la liste déroulante.",""))</f>
        <v/>
      </c>
    </row>
    <row r="83" spans="1:34" x14ac:dyDescent="0.25">
      <c r="A83" s="73" t="str">
        <f>IF(SalCommune[[#This Row],[Statut]]="","",IF(ISNA(VLOOKUP(SalCommune[[#This Row],[Statut]],'Grille communale'!$B$3:$B$5,1,FALSE))=TRUE,"Veuillez choisir le statut parmis la liste déroulante",""))</f>
        <v/>
      </c>
      <c r="B83" s="8"/>
      <c r="C83" s="8"/>
      <c r="D83" s="8"/>
      <c r="E83" s="21"/>
      <c r="F83" s="8"/>
      <c r="G83" s="8"/>
      <c r="H83" s="9"/>
      <c r="I83" s="9"/>
      <c r="J83" s="9"/>
      <c r="K83" s="10"/>
      <c r="L83" s="10"/>
      <c r="M83" s="9"/>
      <c r="N83" s="9"/>
      <c r="O83" s="9"/>
      <c r="P83"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83" s="9"/>
      <c r="R83" s="9"/>
      <c r="S83" s="38"/>
      <c r="T83" s="38"/>
      <c r="U83" s="38"/>
      <c r="V83" s="38"/>
      <c r="W83" s="38"/>
      <c r="X83" s="67" t="str">
        <f>IF(COUNTA(SalCommune[[#This Row],[N°]:[heures annuelles
selon contrat(s)]])=0,"",SalCommune[[#This Row],[Brut]]+SalCommune[[#This Row],[Autres Primes]]+SalCommune[[#This Row],[Part patronale]]-ABS(SalCommune[[#This Row],[Remboursement Mutualité]])-ABS(SalCommune[[#This Row],[Remboursement
Autres]]))</f>
        <v/>
      </c>
      <c r="Y83" s="38"/>
      <c r="Z83"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83" s="8"/>
      <c r="AB83" s="64"/>
      <c r="AC83"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83"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83" s="505"/>
      <c r="AF83" s="187"/>
      <c r="AG83" s="200" t="str">
        <f>IF(COUNTA(SalCommune[[#This Row],[N°]:[heures annuelles
selon contrat(s)]])=0,"",REVEX!$E$9)</f>
        <v/>
      </c>
      <c r="AH83" s="73" t="str">
        <f>IF(SalCommune[[#This Row],[Allocations fonctions]]="","",IF(ISNA(VLOOKUP(SalCommune[[#This Row],[Allocations fonctions]],DROPDOWN[Dropdown82],1,FALSE))=TRUE,"&lt;-- Veuillez choisir l'allocation parmis la liste déroulante.",""))</f>
        <v/>
      </c>
    </row>
    <row r="84" spans="1:34" x14ac:dyDescent="0.25">
      <c r="A84" s="73" t="str">
        <f>IF(SalCommune[[#This Row],[Statut]]="","",IF(ISNA(VLOOKUP(SalCommune[[#This Row],[Statut]],'Grille communale'!$B$3:$B$5,1,FALSE))=TRUE,"Veuillez choisir le statut parmis la liste déroulante",""))</f>
        <v/>
      </c>
      <c r="B84" s="8"/>
      <c r="C84" s="8"/>
      <c r="D84" s="8"/>
      <c r="E84" s="21"/>
      <c r="F84" s="8"/>
      <c r="G84" s="8"/>
      <c r="H84" s="9"/>
      <c r="I84" s="9"/>
      <c r="J84" s="9"/>
      <c r="K84" s="10"/>
      <c r="L84" s="10"/>
      <c r="M84" s="9"/>
      <c r="N84" s="9"/>
      <c r="O84" s="9"/>
      <c r="P84"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84" s="9"/>
      <c r="R84" s="9"/>
      <c r="S84" s="38"/>
      <c r="T84" s="38"/>
      <c r="U84" s="38"/>
      <c r="V84" s="38"/>
      <c r="W84" s="38"/>
      <c r="X84" s="67" t="str">
        <f>IF(COUNTA(SalCommune[[#This Row],[N°]:[heures annuelles
selon contrat(s)]])=0,"",SalCommune[[#This Row],[Brut]]+SalCommune[[#This Row],[Autres Primes]]+SalCommune[[#This Row],[Part patronale]]-ABS(SalCommune[[#This Row],[Remboursement Mutualité]])-ABS(SalCommune[[#This Row],[Remboursement
Autres]]))</f>
        <v/>
      </c>
      <c r="Y84" s="38"/>
      <c r="Z84"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84" s="8"/>
      <c r="AB84" s="64"/>
      <c r="AC84"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84"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84" s="505"/>
      <c r="AF84" s="187"/>
      <c r="AG84" s="200" t="str">
        <f>IF(COUNTA(SalCommune[[#This Row],[N°]:[heures annuelles
selon contrat(s)]])=0,"",REVEX!$E$9)</f>
        <v/>
      </c>
      <c r="AH84" s="73" t="str">
        <f>IF(SalCommune[[#This Row],[Allocations fonctions]]="","",IF(ISNA(VLOOKUP(SalCommune[[#This Row],[Allocations fonctions]],DROPDOWN[Dropdown82],1,FALSE))=TRUE,"&lt;-- Veuillez choisir l'allocation parmis la liste déroulante.",""))</f>
        <v/>
      </c>
    </row>
    <row r="85" spans="1:34" x14ac:dyDescent="0.25">
      <c r="A85" s="73" t="str">
        <f>IF(SalCommune[[#This Row],[Statut]]="","",IF(ISNA(VLOOKUP(SalCommune[[#This Row],[Statut]],'Grille communale'!$B$3:$B$5,1,FALSE))=TRUE,"Veuillez choisir le statut parmis la liste déroulante",""))</f>
        <v/>
      </c>
      <c r="B85" s="8"/>
      <c r="C85" s="8"/>
      <c r="D85" s="8"/>
      <c r="E85" s="21"/>
      <c r="F85" s="8"/>
      <c r="G85" s="8"/>
      <c r="H85" s="9"/>
      <c r="I85" s="9"/>
      <c r="J85" s="9"/>
      <c r="K85" s="10"/>
      <c r="L85" s="10"/>
      <c r="M85" s="9"/>
      <c r="N85" s="9"/>
      <c r="O85" s="9"/>
      <c r="P85"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85" s="9"/>
      <c r="R85" s="9"/>
      <c r="S85" s="38"/>
      <c r="T85" s="38"/>
      <c r="U85" s="38"/>
      <c r="V85" s="38"/>
      <c r="W85" s="38"/>
      <c r="X85" s="67" t="str">
        <f>IF(COUNTA(SalCommune[[#This Row],[N°]:[heures annuelles
selon contrat(s)]])=0,"",SalCommune[[#This Row],[Brut]]+SalCommune[[#This Row],[Autres Primes]]+SalCommune[[#This Row],[Part patronale]]-ABS(SalCommune[[#This Row],[Remboursement Mutualité]])-ABS(SalCommune[[#This Row],[Remboursement
Autres]]))</f>
        <v/>
      </c>
      <c r="Y85" s="38"/>
      <c r="Z85"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85" s="8"/>
      <c r="AB85" s="64"/>
      <c r="AC85"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85"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85" s="505"/>
      <c r="AF85" s="187"/>
      <c r="AG85" s="200" t="str">
        <f>IF(COUNTA(SalCommune[[#This Row],[N°]:[heures annuelles
selon contrat(s)]])=0,"",REVEX!$E$9)</f>
        <v/>
      </c>
      <c r="AH85" s="73" t="str">
        <f>IF(SalCommune[[#This Row],[Allocations fonctions]]="","",IF(ISNA(VLOOKUP(SalCommune[[#This Row],[Allocations fonctions]],DROPDOWN[Dropdown82],1,FALSE))=TRUE,"&lt;-- Veuillez choisir l'allocation parmis la liste déroulante.",""))</f>
        <v/>
      </c>
    </row>
    <row r="86" spans="1:34" x14ac:dyDescent="0.25">
      <c r="A86" s="73" t="str">
        <f>IF(SalCommune[[#This Row],[Statut]]="","",IF(ISNA(VLOOKUP(SalCommune[[#This Row],[Statut]],'Grille communale'!$B$3:$B$5,1,FALSE))=TRUE,"Veuillez choisir le statut parmis la liste déroulante",""))</f>
        <v/>
      </c>
      <c r="B86" s="8"/>
      <c r="C86" s="8"/>
      <c r="D86" s="8"/>
      <c r="E86" s="21"/>
      <c r="F86" s="8"/>
      <c r="G86" s="8"/>
      <c r="H86" s="9"/>
      <c r="I86" s="9"/>
      <c r="J86" s="9"/>
      <c r="K86" s="10"/>
      <c r="L86" s="10"/>
      <c r="M86" s="9"/>
      <c r="N86" s="9"/>
      <c r="O86" s="9"/>
      <c r="P86"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86" s="9"/>
      <c r="R86" s="9"/>
      <c r="S86" s="38"/>
      <c r="T86" s="38"/>
      <c r="U86" s="38"/>
      <c r="V86" s="38"/>
      <c r="W86" s="38"/>
      <c r="X86" s="67" t="str">
        <f>IF(COUNTA(SalCommune[[#This Row],[N°]:[heures annuelles
selon contrat(s)]])=0,"",SalCommune[[#This Row],[Brut]]+SalCommune[[#This Row],[Autres Primes]]+SalCommune[[#This Row],[Part patronale]]-ABS(SalCommune[[#This Row],[Remboursement Mutualité]])-ABS(SalCommune[[#This Row],[Remboursement
Autres]]))</f>
        <v/>
      </c>
      <c r="Y86" s="38"/>
      <c r="Z86"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86" s="8"/>
      <c r="AB86" s="64"/>
      <c r="AC86"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86"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86" s="505"/>
      <c r="AF86" s="187"/>
      <c r="AG86" s="200" t="str">
        <f>IF(COUNTA(SalCommune[[#This Row],[N°]:[heures annuelles
selon contrat(s)]])=0,"",REVEX!$E$9)</f>
        <v/>
      </c>
      <c r="AH86" s="73" t="str">
        <f>IF(SalCommune[[#This Row],[Allocations fonctions]]="","",IF(ISNA(VLOOKUP(SalCommune[[#This Row],[Allocations fonctions]],DROPDOWN[Dropdown82],1,FALSE))=TRUE,"&lt;-- Veuillez choisir l'allocation parmis la liste déroulante.",""))</f>
        <v/>
      </c>
    </row>
    <row r="87" spans="1:34" x14ac:dyDescent="0.25">
      <c r="A87" s="73" t="str">
        <f>IF(SalCommune[[#This Row],[Statut]]="","",IF(ISNA(VLOOKUP(SalCommune[[#This Row],[Statut]],'Grille communale'!$B$3:$B$5,1,FALSE))=TRUE,"Veuillez choisir le statut parmis la liste déroulante",""))</f>
        <v/>
      </c>
      <c r="B87" s="8"/>
      <c r="C87" s="8"/>
      <c r="D87" s="8"/>
      <c r="E87" s="21"/>
      <c r="F87" s="8"/>
      <c r="G87" s="8"/>
      <c r="H87" s="9"/>
      <c r="I87" s="9"/>
      <c r="J87" s="9"/>
      <c r="K87" s="10"/>
      <c r="L87" s="10"/>
      <c r="M87" s="9"/>
      <c r="N87" s="9"/>
      <c r="O87" s="9"/>
      <c r="P87"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87" s="9"/>
      <c r="R87" s="9"/>
      <c r="S87" s="38"/>
      <c r="T87" s="38"/>
      <c r="U87" s="38"/>
      <c r="V87" s="38"/>
      <c r="W87" s="38"/>
      <c r="X87" s="67" t="str">
        <f>IF(COUNTA(SalCommune[[#This Row],[N°]:[heures annuelles
selon contrat(s)]])=0,"",SalCommune[[#This Row],[Brut]]+SalCommune[[#This Row],[Autres Primes]]+SalCommune[[#This Row],[Part patronale]]-ABS(SalCommune[[#This Row],[Remboursement Mutualité]])-ABS(SalCommune[[#This Row],[Remboursement
Autres]]))</f>
        <v/>
      </c>
      <c r="Y87" s="38"/>
      <c r="Z87"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87" s="8"/>
      <c r="AB87" s="64"/>
      <c r="AC87"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87"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87" s="505"/>
      <c r="AF87" s="187"/>
      <c r="AG87" s="200" t="str">
        <f>IF(COUNTA(SalCommune[[#This Row],[N°]:[heures annuelles
selon contrat(s)]])=0,"",REVEX!$E$9)</f>
        <v/>
      </c>
      <c r="AH87" s="73" t="str">
        <f>IF(SalCommune[[#This Row],[Allocations fonctions]]="","",IF(ISNA(VLOOKUP(SalCommune[[#This Row],[Allocations fonctions]],DROPDOWN[Dropdown82],1,FALSE))=TRUE,"&lt;-- Veuillez choisir l'allocation parmis la liste déroulante.",""))</f>
        <v/>
      </c>
    </row>
    <row r="88" spans="1:34" x14ac:dyDescent="0.25">
      <c r="A88" s="73" t="str">
        <f>IF(SalCommune[[#This Row],[Statut]]="","",IF(ISNA(VLOOKUP(SalCommune[[#This Row],[Statut]],'Grille communale'!$B$3:$B$5,1,FALSE))=TRUE,"Veuillez choisir le statut parmis la liste déroulante",""))</f>
        <v/>
      </c>
      <c r="B88" s="8"/>
      <c r="C88" s="8"/>
      <c r="D88" s="8"/>
      <c r="E88" s="21"/>
      <c r="F88" s="8"/>
      <c r="G88" s="8"/>
      <c r="H88" s="9"/>
      <c r="I88" s="9"/>
      <c r="J88" s="9"/>
      <c r="K88" s="10"/>
      <c r="L88" s="10"/>
      <c r="M88" s="9"/>
      <c r="N88" s="9"/>
      <c r="O88" s="9"/>
      <c r="P88"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88" s="9"/>
      <c r="R88" s="9"/>
      <c r="S88" s="38"/>
      <c r="T88" s="38"/>
      <c r="U88" s="38"/>
      <c r="V88" s="38"/>
      <c r="W88" s="38"/>
      <c r="X88" s="67" t="str">
        <f>IF(COUNTA(SalCommune[[#This Row],[N°]:[heures annuelles
selon contrat(s)]])=0,"",SalCommune[[#This Row],[Brut]]+SalCommune[[#This Row],[Autres Primes]]+SalCommune[[#This Row],[Part patronale]]-ABS(SalCommune[[#This Row],[Remboursement Mutualité]])-ABS(SalCommune[[#This Row],[Remboursement
Autres]]))</f>
        <v/>
      </c>
      <c r="Y88" s="38"/>
      <c r="Z88"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88" s="8"/>
      <c r="AB88" s="64"/>
      <c r="AC88"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88"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88" s="505"/>
      <c r="AF88" s="187"/>
      <c r="AG88" s="200" t="str">
        <f>IF(COUNTA(SalCommune[[#This Row],[N°]:[heures annuelles
selon contrat(s)]])=0,"",REVEX!$E$9)</f>
        <v/>
      </c>
      <c r="AH88" s="73" t="str">
        <f>IF(SalCommune[[#This Row],[Allocations fonctions]]="","",IF(ISNA(VLOOKUP(SalCommune[[#This Row],[Allocations fonctions]],DROPDOWN[Dropdown82],1,FALSE))=TRUE,"&lt;-- Veuillez choisir l'allocation parmis la liste déroulante.",""))</f>
        <v/>
      </c>
    </row>
    <row r="89" spans="1:34" x14ac:dyDescent="0.25">
      <c r="A89" s="73" t="str">
        <f>IF(SalCommune[[#This Row],[Statut]]="","",IF(ISNA(VLOOKUP(SalCommune[[#This Row],[Statut]],'Grille communale'!$B$3:$B$5,1,FALSE))=TRUE,"Veuillez choisir le statut parmis la liste déroulante",""))</f>
        <v/>
      </c>
      <c r="B89" s="8"/>
      <c r="C89" s="8"/>
      <c r="D89" s="8"/>
      <c r="E89" s="21"/>
      <c r="F89" s="8"/>
      <c r="G89" s="8"/>
      <c r="H89" s="9"/>
      <c r="I89" s="9"/>
      <c r="J89" s="9"/>
      <c r="K89" s="10"/>
      <c r="L89" s="10"/>
      <c r="M89" s="9"/>
      <c r="N89" s="9"/>
      <c r="O89" s="9"/>
      <c r="P89"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89" s="9"/>
      <c r="R89" s="9"/>
      <c r="S89" s="38"/>
      <c r="T89" s="38"/>
      <c r="U89" s="38"/>
      <c r="V89" s="38"/>
      <c r="W89" s="38"/>
      <c r="X89" s="67" t="str">
        <f>IF(COUNTA(SalCommune[[#This Row],[N°]:[heures annuelles
selon contrat(s)]])=0,"",SalCommune[[#This Row],[Brut]]+SalCommune[[#This Row],[Autres Primes]]+SalCommune[[#This Row],[Part patronale]]-ABS(SalCommune[[#This Row],[Remboursement Mutualité]])-ABS(SalCommune[[#This Row],[Remboursement
Autres]]))</f>
        <v/>
      </c>
      <c r="Y89" s="38"/>
      <c r="Z89"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89" s="8"/>
      <c r="AB89" s="64"/>
      <c r="AC89"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89"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89" s="505"/>
      <c r="AF89" s="187"/>
      <c r="AG89" s="200" t="str">
        <f>IF(COUNTA(SalCommune[[#This Row],[N°]:[heures annuelles
selon contrat(s)]])=0,"",REVEX!$E$9)</f>
        <v/>
      </c>
      <c r="AH89" s="73" t="str">
        <f>IF(SalCommune[[#This Row],[Allocations fonctions]]="","",IF(ISNA(VLOOKUP(SalCommune[[#This Row],[Allocations fonctions]],DROPDOWN[Dropdown82],1,FALSE))=TRUE,"&lt;-- Veuillez choisir l'allocation parmis la liste déroulante.",""))</f>
        <v/>
      </c>
    </row>
    <row r="90" spans="1:34" x14ac:dyDescent="0.25">
      <c r="A90" s="73" t="str">
        <f>IF(SalCommune[[#This Row],[Statut]]="","",IF(ISNA(VLOOKUP(SalCommune[[#This Row],[Statut]],'Grille communale'!$B$3:$B$5,1,FALSE))=TRUE,"Veuillez choisir le statut parmis la liste déroulante",""))</f>
        <v/>
      </c>
      <c r="B90" s="8"/>
      <c r="C90" s="8"/>
      <c r="D90" s="8"/>
      <c r="E90" s="21"/>
      <c r="F90" s="8"/>
      <c r="G90" s="8"/>
      <c r="H90" s="9"/>
      <c r="I90" s="9"/>
      <c r="J90" s="9"/>
      <c r="K90" s="10"/>
      <c r="L90" s="10"/>
      <c r="M90" s="9"/>
      <c r="N90" s="9"/>
      <c r="O90" s="9"/>
      <c r="P90"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90" s="9"/>
      <c r="R90" s="9"/>
      <c r="S90" s="38"/>
      <c r="T90" s="38"/>
      <c r="U90" s="38"/>
      <c r="V90" s="38"/>
      <c r="W90" s="38"/>
      <c r="X90" s="67" t="str">
        <f>IF(COUNTA(SalCommune[[#This Row],[N°]:[heures annuelles
selon contrat(s)]])=0,"",SalCommune[[#This Row],[Brut]]+SalCommune[[#This Row],[Autres Primes]]+SalCommune[[#This Row],[Part patronale]]-ABS(SalCommune[[#This Row],[Remboursement Mutualité]])-ABS(SalCommune[[#This Row],[Remboursement
Autres]]))</f>
        <v/>
      </c>
      <c r="Y90" s="38"/>
      <c r="Z90"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90" s="8"/>
      <c r="AB90" s="64"/>
      <c r="AC90"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90"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90" s="505"/>
      <c r="AF90" s="187"/>
      <c r="AG90" s="200" t="str">
        <f>IF(COUNTA(SalCommune[[#This Row],[N°]:[heures annuelles
selon contrat(s)]])=0,"",REVEX!$E$9)</f>
        <v/>
      </c>
      <c r="AH90" s="73" t="str">
        <f>IF(SalCommune[[#This Row],[Allocations fonctions]]="","",IF(ISNA(VLOOKUP(SalCommune[[#This Row],[Allocations fonctions]],DROPDOWN[Dropdown82],1,FALSE))=TRUE,"&lt;-- Veuillez choisir l'allocation parmis la liste déroulante.",""))</f>
        <v/>
      </c>
    </row>
    <row r="91" spans="1:34" x14ac:dyDescent="0.25">
      <c r="A91" s="73" t="str">
        <f>IF(SalCommune[[#This Row],[Statut]]="","",IF(ISNA(VLOOKUP(SalCommune[[#This Row],[Statut]],'Grille communale'!$B$3:$B$5,1,FALSE))=TRUE,"Veuillez choisir le statut parmis la liste déroulante",""))</f>
        <v/>
      </c>
      <c r="B91" s="8"/>
      <c r="C91" s="8"/>
      <c r="D91" s="8"/>
      <c r="E91" s="21"/>
      <c r="F91" s="8"/>
      <c r="G91" s="8"/>
      <c r="H91" s="9"/>
      <c r="I91" s="9"/>
      <c r="J91" s="9"/>
      <c r="K91" s="10"/>
      <c r="L91" s="10"/>
      <c r="M91" s="9"/>
      <c r="N91" s="9"/>
      <c r="O91" s="9"/>
      <c r="P91"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91" s="9"/>
      <c r="R91" s="9"/>
      <c r="S91" s="38"/>
      <c r="T91" s="38"/>
      <c r="U91" s="38"/>
      <c r="V91" s="38"/>
      <c r="W91" s="38"/>
      <c r="X91" s="67" t="str">
        <f>IF(COUNTA(SalCommune[[#This Row],[N°]:[heures annuelles
selon contrat(s)]])=0,"",SalCommune[[#This Row],[Brut]]+SalCommune[[#This Row],[Autres Primes]]+SalCommune[[#This Row],[Part patronale]]-ABS(SalCommune[[#This Row],[Remboursement Mutualité]])-ABS(SalCommune[[#This Row],[Remboursement
Autres]]))</f>
        <v/>
      </c>
      <c r="Y91" s="38"/>
      <c r="Z91"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91" s="8"/>
      <c r="AB91" s="64"/>
      <c r="AC91"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91"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91" s="505"/>
      <c r="AF91" s="187"/>
      <c r="AG91" s="200" t="str">
        <f>IF(COUNTA(SalCommune[[#This Row],[N°]:[heures annuelles
selon contrat(s)]])=0,"",REVEX!$E$9)</f>
        <v/>
      </c>
      <c r="AH91" s="73" t="str">
        <f>IF(SalCommune[[#This Row],[Allocations fonctions]]="","",IF(ISNA(VLOOKUP(SalCommune[[#This Row],[Allocations fonctions]],DROPDOWN[Dropdown82],1,FALSE))=TRUE,"&lt;-- Veuillez choisir l'allocation parmis la liste déroulante.",""))</f>
        <v/>
      </c>
    </row>
    <row r="92" spans="1:34" x14ac:dyDescent="0.25">
      <c r="A92" s="73" t="str">
        <f>IF(SalCommune[[#This Row],[Statut]]="","",IF(ISNA(VLOOKUP(SalCommune[[#This Row],[Statut]],'Grille communale'!$B$3:$B$5,1,FALSE))=TRUE,"Veuillez choisir le statut parmis la liste déroulante",""))</f>
        <v/>
      </c>
      <c r="B92" s="8"/>
      <c r="C92" s="8"/>
      <c r="D92" s="8"/>
      <c r="E92" s="21"/>
      <c r="F92" s="8"/>
      <c r="G92" s="8"/>
      <c r="H92" s="9"/>
      <c r="I92" s="9"/>
      <c r="J92" s="9"/>
      <c r="K92" s="10"/>
      <c r="L92" s="10"/>
      <c r="M92" s="9"/>
      <c r="N92" s="9"/>
      <c r="O92" s="9"/>
      <c r="P92"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92" s="9"/>
      <c r="R92" s="9"/>
      <c r="S92" s="38"/>
      <c r="T92" s="38"/>
      <c r="U92" s="38"/>
      <c r="V92" s="38"/>
      <c r="W92" s="38"/>
      <c r="X92" s="67" t="str">
        <f>IF(COUNTA(SalCommune[[#This Row],[N°]:[heures annuelles
selon contrat(s)]])=0,"",SalCommune[[#This Row],[Brut]]+SalCommune[[#This Row],[Autres Primes]]+SalCommune[[#This Row],[Part patronale]]-ABS(SalCommune[[#This Row],[Remboursement Mutualité]])-ABS(SalCommune[[#This Row],[Remboursement
Autres]]))</f>
        <v/>
      </c>
      <c r="Y92" s="38"/>
      <c r="Z92"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92" s="8"/>
      <c r="AB92" s="64"/>
      <c r="AC92"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92"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92" s="505"/>
      <c r="AF92" s="187"/>
      <c r="AG92" s="200" t="str">
        <f>IF(COUNTA(SalCommune[[#This Row],[N°]:[heures annuelles
selon contrat(s)]])=0,"",REVEX!$E$9)</f>
        <v/>
      </c>
      <c r="AH92" s="73" t="str">
        <f>IF(SalCommune[[#This Row],[Allocations fonctions]]="","",IF(ISNA(VLOOKUP(SalCommune[[#This Row],[Allocations fonctions]],DROPDOWN[Dropdown82],1,FALSE))=TRUE,"&lt;-- Veuillez choisir l'allocation parmis la liste déroulante.",""))</f>
        <v/>
      </c>
    </row>
    <row r="93" spans="1:34" x14ac:dyDescent="0.25">
      <c r="A93" s="73" t="str">
        <f>IF(SalCommune[[#This Row],[Statut]]="","",IF(ISNA(VLOOKUP(SalCommune[[#This Row],[Statut]],'Grille communale'!$B$3:$B$5,1,FALSE))=TRUE,"Veuillez choisir le statut parmis la liste déroulante",""))</f>
        <v/>
      </c>
      <c r="B93" s="8"/>
      <c r="C93" s="8"/>
      <c r="D93" s="8"/>
      <c r="E93" s="21"/>
      <c r="F93" s="8"/>
      <c r="G93" s="8"/>
      <c r="H93" s="9"/>
      <c r="I93" s="9"/>
      <c r="J93" s="9"/>
      <c r="K93" s="10"/>
      <c r="L93" s="10"/>
      <c r="M93" s="9"/>
      <c r="N93" s="9"/>
      <c r="O93" s="9"/>
      <c r="P93"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93" s="9"/>
      <c r="R93" s="9"/>
      <c r="S93" s="38"/>
      <c r="T93" s="38"/>
      <c r="U93" s="38"/>
      <c r="V93" s="38"/>
      <c r="W93" s="38"/>
      <c r="X93" s="67" t="str">
        <f>IF(COUNTA(SalCommune[[#This Row],[N°]:[heures annuelles
selon contrat(s)]])=0,"",SalCommune[[#This Row],[Brut]]+SalCommune[[#This Row],[Autres Primes]]+SalCommune[[#This Row],[Part patronale]]-ABS(SalCommune[[#This Row],[Remboursement Mutualité]])-ABS(SalCommune[[#This Row],[Remboursement
Autres]]))</f>
        <v/>
      </c>
      <c r="Y93" s="38"/>
      <c r="Z93"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93" s="8"/>
      <c r="AB93" s="64"/>
      <c r="AC93"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93"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93" s="505"/>
      <c r="AF93" s="187"/>
      <c r="AG93" s="200" t="str">
        <f>IF(COUNTA(SalCommune[[#This Row],[N°]:[heures annuelles
selon contrat(s)]])=0,"",REVEX!$E$9)</f>
        <v/>
      </c>
      <c r="AH93" s="73" t="str">
        <f>IF(SalCommune[[#This Row],[Allocations fonctions]]="","",IF(ISNA(VLOOKUP(SalCommune[[#This Row],[Allocations fonctions]],DROPDOWN[Dropdown82],1,FALSE))=TRUE,"&lt;-- Veuillez choisir l'allocation parmis la liste déroulante.",""))</f>
        <v/>
      </c>
    </row>
    <row r="94" spans="1:34" x14ac:dyDescent="0.25">
      <c r="A94" s="73" t="str">
        <f>IF(SalCommune[[#This Row],[Statut]]="","",IF(ISNA(VLOOKUP(SalCommune[[#This Row],[Statut]],'Grille communale'!$B$3:$B$5,1,FALSE))=TRUE,"Veuillez choisir le statut parmis la liste déroulante",""))</f>
        <v/>
      </c>
      <c r="B94" s="8"/>
      <c r="C94" s="8"/>
      <c r="D94" s="8"/>
      <c r="E94" s="21"/>
      <c r="F94" s="8"/>
      <c r="G94" s="8"/>
      <c r="H94" s="9"/>
      <c r="I94" s="9"/>
      <c r="J94" s="9"/>
      <c r="K94" s="10"/>
      <c r="L94" s="10"/>
      <c r="M94" s="9"/>
      <c r="N94" s="9"/>
      <c r="O94" s="9"/>
      <c r="P94"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94" s="9"/>
      <c r="R94" s="9"/>
      <c r="S94" s="38"/>
      <c r="T94" s="38"/>
      <c r="U94" s="38"/>
      <c r="V94" s="38"/>
      <c r="W94" s="38"/>
      <c r="X94" s="67" t="str">
        <f>IF(COUNTA(SalCommune[[#This Row],[N°]:[heures annuelles
selon contrat(s)]])=0,"",SalCommune[[#This Row],[Brut]]+SalCommune[[#This Row],[Autres Primes]]+SalCommune[[#This Row],[Part patronale]]-ABS(SalCommune[[#This Row],[Remboursement Mutualité]])-ABS(SalCommune[[#This Row],[Remboursement
Autres]]))</f>
        <v/>
      </c>
      <c r="Y94" s="38"/>
      <c r="Z94"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94" s="8"/>
      <c r="AB94" s="64"/>
      <c r="AC94"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94"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94" s="505"/>
      <c r="AF94" s="187"/>
      <c r="AG94" s="200" t="str">
        <f>IF(COUNTA(SalCommune[[#This Row],[N°]:[heures annuelles
selon contrat(s)]])=0,"",REVEX!$E$9)</f>
        <v/>
      </c>
      <c r="AH94" s="73" t="str">
        <f>IF(SalCommune[[#This Row],[Allocations fonctions]]="","",IF(ISNA(VLOOKUP(SalCommune[[#This Row],[Allocations fonctions]],DROPDOWN[Dropdown82],1,FALSE))=TRUE,"&lt;-- Veuillez choisir l'allocation parmis la liste déroulante.",""))</f>
        <v/>
      </c>
    </row>
    <row r="95" spans="1:34" x14ac:dyDescent="0.25">
      <c r="A95" s="73" t="str">
        <f>IF(SalCommune[[#This Row],[Statut]]="","",IF(ISNA(VLOOKUP(SalCommune[[#This Row],[Statut]],'Grille communale'!$B$3:$B$5,1,FALSE))=TRUE,"Veuillez choisir le statut parmis la liste déroulante",""))</f>
        <v/>
      </c>
      <c r="B95" s="8"/>
      <c r="C95" s="8"/>
      <c r="D95" s="8"/>
      <c r="E95" s="21"/>
      <c r="F95" s="8"/>
      <c r="G95" s="8"/>
      <c r="H95" s="9"/>
      <c r="I95" s="9"/>
      <c r="J95" s="9"/>
      <c r="K95" s="10"/>
      <c r="L95" s="10"/>
      <c r="M95" s="9"/>
      <c r="N95" s="9"/>
      <c r="O95" s="9"/>
      <c r="P95"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95" s="9"/>
      <c r="R95" s="9"/>
      <c r="S95" s="38"/>
      <c r="T95" s="38"/>
      <c r="U95" s="38"/>
      <c r="V95" s="38"/>
      <c r="W95" s="38"/>
      <c r="X95" s="67" t="str">
        <f>IF(COUNTA(SalCommune[[#This Row],[N°]:[heures annuelles
selon contrat(s)]])=0,"",SalCommune[[#This Row],[Brut]]+SalCommune[[#This Row],[Autres Primes]]+SalCommune[[#This Row],[Part patronale]]-ABS(SalCommune[[#This Row],[Remboursement Mutualité]])-ABS(SalCommune[[#This Row],[Remboursement
Autres]]))</f>
        <v/>
      </c>
      <c r="Y95" s="38"/>
      <c r="Z95"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95" s="8"/>
      <c r="AB95" s="64"/>
      <c r="AC95"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95"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95" s="505"/>
      <c r="AF95" s="187"/>
      <c r="AG95" s="200" t="str">
        <f>IF(COUNTA(SalCommune[[#This Row],[N°]:[heures annuelles
selon contrat(s)]])=0,"",REVEX!$E$9)</f>
        <v/>
      </c>
      <c r="AH95" s="73" t="str">
        <f>IF(SalCommune[[#This Row],[Allocations fonctions]]="","",IF(ISNA(VLOOKUP(SalCommune[[#This Row],[Allocations fonctions]],DROPDOWN[Dropdown82],1,FALSE))=TRUE,"&lt;-- Veuillez choisir l'allocation parmis la liste déroulante.",""))</f>
        <v/>
      </c>
    </row>
    <row r="96" spans="1:34" x14ac:dyDescent="0.25">
      <c r="A96" s="73" t="str">
        <f>IF(SalCommune[[#This Row],[Statut]]="","",IF(ISNA(VLOOKUP(SalCommune[[#This Row],[Statut]],'Grille communale'!$B$3:$B$5,1,FALSE))=TRUE,"Veuillez choisir le statut parmis la liste déroulante",""))</f>
        <v/>
      </c>
      <c r="B96" s="8"/>
      <c r="C96" s="8"/>
      <c r="D96" s="8"/>
      <c r="E96" s="21"/>
      <c r="F96" s="8"/>
      <c r="G96" s="8"/>
      <c r="H96" s="9"/>
      <c r="I96" s="9"/>
      <c r="J96" s="9"/>
      <c r="K96" s="10"/>
      <c r="L96" s="10"/>
      <c r="M96" s="9"/>
      <c r="N96" s="9"/>
      <c r="O96" s="9"/>
      <c r="P96"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96" s="9"/>
      <c r="R96" s="9"/>
      <c r="S96" s="38"/>
      <c r="T96" s="38"/>
      <c r="U96" s="38"/>
      <c r="V96" s="38"/>
      <c r="W96" s="38"/>
      <c r="X96" s="67" t="str">
        <f>IF(COUNTA(SalCommune[[#This Row],[N°]:[heures annuelles
selon contrat(s)]])=0,"",SalCommune[[#This Row],[Brut]]+SalCommune[[#This Row],[Autres Primes]]+SalCommune[[#This Row],[Part patronale]]-ABS(SalCommune[[#This Row],[Remboursement Mutualité]])-ABS(SalCommune[[#This Row],[Remboursement
Autres]]))</f>
        <v/>
      </c>
      <c r="Y96" s="38"/>
      <c r="Z96"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96" s="8"/>
      <c r="AB96" s="64"/>
      <c r="AC96"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96"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96" s="505"/>
      <c r="AF96" s="187"/>
      <c r="AG96" s="200" t="str">
        <f>IF(COUNTA(SalCommune[[#This Row],[N°]:[heures annuelles
selon contrat(s)]])=0,"",REVEX!$E$9)</f>
        <v/>
      </c>
      <c r="AH96" s="73" t="str">
        <f>IF(SalCommune[[#This Row],[Allocations fonctions]]="","",IF(ISNA(VLOOKUP(SalCommune[[#This Row],[Allocations fonctions]],DROPDOWN[Dropdown82],1,FALSE))=TRUE,"&lt;-- Veuillez choisir l'allocation parmis la liste déroulante.",""))</f>
        <v/>
      </c>
    </row>
    <row r="97" spans="1:34" x14ac:dyDescent="0.25">
      <c r="A97" s="73" t="str">
        <f>IF(SalCommune[[#This Row],[Statut]]="","",IF(ISNA(VLOOKUP(SalCommune[[#This Row],[Statut]],'Grille communale'!$B$3:$B$5,1,FALSE))=TRUE,"Veuillez choisir le statut parmis la liste déroulante",""))</f>
        <v/>
      </c>
      <c r="B97" s="8"/>
      <c r="C97" s="8"/>
      <c r="D97" s="8"/>
      <c r="E97" s="21"/>
      <c r="F97" s="8"/>
      <c r="G97" s="8"/>
      <c r="H97" s="9"/>
      <c r="I97" s="9"/>
      <c r="J97" s="9"/>
      <c r="K97" s="10"/>
      <c r="L97" s="10"/>
      <c r="M97" s="9"/>
      <c r="N97" s="9"/>
      <c r="O97" s="9"/>
      <c r="P97"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97" s="9"/>
      <c r="R97" s="9"/>
      <c r="S97" s="38"/>
      <c r="T97" s="38"/>
      <c r="U97" s="38"/>
      <c r="V97" s="38"/>
      <c r="W97" s="38"/>
      <c r="X97" s="67" t="str">
        <f>IF(COUNTA(SalCommune[[#This Row],[N°]:[heures annuelles
selon contrat(s)]])=0,"",SalCommune[[#This Row],[Brut]]+SalCommune[[#This Row],[Autres Primes]]+SalCommune[[#This Row],[Part patronale]]-ABS(SalCommune[[#This Row],[Remboursement Mutualité]])-ABS(SalCommune[[#This Row],[Remboursement
Autres]]))</f>
        <v/>
      </c>
      <c r="Y97" s="38"/>
      <c r="Z97"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97" s="8"/>
      <c r="AB97" s="64"/>
      <c r="AC97"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97"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97" s="505"/>
      <c r="AF97" s="187"/>
      <c r="AG97" s="200" t="str">
        <f>IF(COUNTA(SalCommune[[#This Row],[N°]:[heures annuelles
selon contrat(s)]])=0,"",REVEX!$E$9)</f>
        <v/>
      </c>
      <c r="AH97" s="73" t="str">
        <f>IF(SalCommune[[#This Row],[Allocations fonctions]]="","",IF(ISNA(VLOOKUP(SalCommune[[#This Row],[Allocations fonctions]],DROPDOWN[Dropdown82],1,FALSE))=TRUE,"&lt;-- Veuillez choisir l'allocation parmis la liste déroulante.",""))</f>
        <v/>
      </c>
    </row>
    <row r="98" spans="1:34" x14ac:dyDescent="0.25">
      <c r="A98" s="73" t="str">
        <f>IF(SalCommune[[#This Row],[Statut]]="","",IF(ISNA(VLOOKUP(SalCommune[[#This Row],[Statut]],'Grille communale'!$B$3:$B$5,1,FALSE))=TRUE,"Veuillez choisir le statut parmis la liste déroulante",""))</f>
        <v/>
      </c>
      <c r="B98" s="8"/>
      <c r="C98" s="8"/>
      <c r="D98" s="8"/>
      <c r="E98" s="21"/>
      <c r="F98" s="8"/>
      <c r="G98" s="8"/>
      <c r="H98" s="9"/>
      <c r="I98" s="9"/>
      <c r="J98" s="9"/>
      <c r="K98" s="10"/>
      <c r="L98" s="10"/>
      <c r="M98" s="9"/>
      <c r="N98" s="9"/>
      <c r="O98" s="9"/>
      <c r="P98"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98" s="9"/>
      <c r="R98" s="9"/>
      <c r="S98" s="38"/>
      <c r="T98" s="38"/>
      <c r="U98" s="38"/>
      <c r="V98" s="38"/>
      <c r="W98" s="38"/>
      <c r="X98" s="67" t="str">
        <f>IF(COUNTA(SalCommune[[#This Row],[N°]:[heures annuelles
selon contrat(s)]])=0,"",SalCommune[[#This Row],[Brut]]+SalCommune[[#This Row],[Autres Primes]]+SalCommune[[#This Row],[Part patronale]]-ABS(SalCommune[[#This Row],[Remboursement Mutualité]])-ABS(SalCommune[[#This Row],[Remboursement
Autres]]))</f>
        <v/>
      </c>
      <c r="Y98" s="38"/>
      <c r="Z98"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98" s="8"/>
      <c r="AB98" s="64"/>
      <c r="AC98"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98"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98" s="505"/>
      <c r="AF98" s="187"/>
      <c r="AG98" s="200" t="str">
        <f>IF(COUNTA(SalCommune[[#This Row],[N°]:[heures annuelles
selon contrat(s)]])=0,"",REVEX!$E$9)</f>
        <v/>
      </c>
      <c r="AH98" s="73" t="str">
        <f>IF(SalCommune[[#This Row],[Allocations fonctions]]="","",IF(ISNA(VLOOKUP(SalCommune[[#This Row],[Allocations fonctions]],DROPDOWN[Dropdown82],1,FALSE))=TRUE,"&lt;-- Veuillez choisir l'allocation parmis la liste déroulante.",""))</f>
        <v/>
      </c>
    </row>
    <row r="99" spans="1:34" x14ac:dyDescent="0.25">
      <c r="A99" s="73" t="str">
        <f>IF(SalCommune[[#This Row],[Statut]]="","",IF(ISNA(VLOOKUP(SalCommune[[#This Row],[Statut]],'Grille communale'!$B$3:$B$5,1,FALSE))=TRUE,"Veuillez choisir le statut parmis la liste déroulante",""))</f>
        <v/>
      </c>
      <c r="B99" s="8"/>
      <c r="C99" s="8"/>
      <c r="D99" s="8"/>
      <c r="E99" s="21"/>
      <c r="F99" s="8"/>
      <c r="G99" s="8"/>
      <c r="H99" s="9"/>
      <c r="I99" s="9"/>
      <c r="J99" s="9"/>
      <c r="K99" s="10"/>
      <c r="L99" s="10"/>
      <c r="M99" s="9"/>
      <c r="N99" s="9"/>
      <c r="O99" s="9"/>
      <c r="P99"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99" s="9"/>
      <c r="R99" s="9"/>
      <c r="S99" s="38"/>
      <c r="T99" s="38"/>
      <c r="U99" s="38"/>
      <c r="V99" s="38"/>
      <c r="W99" s="38"/>
      <c r="X99" s="67" t="str">
        <f>IF(COUNTA(SalCommune[[#This Row],[N°]:[heures annuelles
selon contrat(s)]])=0,"",SalCommune[[#This Row],[Brut]]+SalCommune[[#This Row],[Autres Primes]]+SalCommune[[#This Row],[Part patronale]]-ABS(SalCommune[[#This Row],[Remboursement Mutualité]])-ABS(SalCommune[[#This Row],[Remboursement
Autres]]))</f>
        <v/>
      </c>
      <c r="Y99" s="38"/>
      <c r="Z99"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99" s="8"/>
      <c r="AB99" s="64"/>
      <c r="AC99"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99"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99" s="505"/>
      <c r="AF99" s="187"/>
      <c r="AG99" s="200" t="str">
        <f>IF(COUNTA(SalCommune[[#This Row],[N°]:[heures annuelles
selon contrat(s)]])=0,"",REVEX!$E$9)</f>
        <v/>
      </c>
      <c r="AH99" s="73" t="str">
        <f>IF(SalCommune[[#This Row],[Allocations fonctions]]="","",IF(ISNA(VLOOKUP(SalCommune[[#This Row],[Allocations fonctions]],DROPDOWN[Dropdown82],1,FALSE))=TRUE,"&lt;-- Veuillez choisir l'allocation parmis la liste déroulante.",""))</f>
        <v/>
      </c>
    </row>
    <row r="100" spans="1:34" x14ac:dyDescent="0.25">
      <c r="A100" s="73" t="str">
        <f>IF(SalCommune[[#This Row],[Statut]]="","",IF(ISNA(VLOOKUP(SalCommune[[#This Row],[Statut]],'Grille communale'!$B$3:$B$5,1,FALSE))=TRUE,"Veuillez choisir le statut parmis la liste déroulante",""))</f>
        <v/>
      </c>
      <c r="B100" s="8"/>
      <c r="C100" s="8"/>
      <c r="D100" s="8"/>
      <c r="E100" s="21"/>
      <c r="F100" s="8"/>
      <c r="G100" s="8"/>
      <c r="H100" s="9"/>
      <c r="I100" s="9"/>
      <c r="J100" s="9"/>
      <c r="K100" s="10"/>
      <c r="L100" s="10"/>
      <c r="M100" s="9"/>
      <c r="N100" s="9"/>
      <c r="O100" s="9"/>
      <c r="P100"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00" s="9"/>
      <c r="R100" s="9"/>
      <c r="S100" s="38"/>
      <c r="T100" s="38"/>
      <c r="U100" s="38"/>
      <c r="V100" s="38"/>
      <c r="W100" s="38"/>
      <c r="X100" s="67" t="str">
        <f>IF(COUNTA(SalCommune[[#This Row],[N°]:[heures annuelles
selon contrat(s)]])=0,"",SalCommune[[#This Row],[Brut]]+SalCommune[[#This Row],[Autres Primes]]+SalCommune[[#This Row],[Part patronale]]-ABS(SalCommune[[#This Row],[Remboursement Mutualité]])-ABS(SalCommune[[#This Row],[Remboursement
Autres]]))</f>
        <v/>
      </c>
      <c r="Y100" s="38"/>
      <c r="Z100"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00" s="8"/>
      <c r="AB100" s="64"/>
      <c r="AC100"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00"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00" s="505"/>
      <c r="AF100" s="187"/>
      <c r="AG100" s="200" t="str">
        <f>IF(COUNTA(SalCommune[[#This Row],[N°]:[heures annuelles
selon contrat(s)]])=0,"",REVEX!$E$9)</f>
        <v/>
      </c>
      <c r="AH100" s="73" t="str">
        <f>IF(SalCommune[[#This Row],[Allocations fonctions]]="","",IF(ISNA(VLOOKUP(SalCommune[[#This Row],[Allocations fonctions]],DROPDOWN[Dropdown82],1,FALSE))=TRUE,"&lt;-- Veuillez choisir l'allocation parmis la liste déroulante.",""))</f>
        <v/>
      </c>
    </row>
    <row r="101" spans="1:34" x14ac:dyDescent="0.25">
      <c r="A101" s="73" t="str">
        <f>IF(SalCommune[[#This Row],[Statut]]="","",IF(ISNA(VLOOKUP(SalCommune[[#This Row],[Statut]],'Grille communale'!$B$3:$B$5,1,FALSE))=TRUE,"Veuillez choisir le statut parmis la liste déroulante",""))</f>
        <v/>
      </c>
      <c r="B101" s="8"/>
      <c r="C101" s="8"/>
      <c r="D101" s="8"/>
      <c r="E101" s="21"/>
      <c r="F101" s="8"/>
      <c r="G101" s="8"/>
      <c r="H101" s="9"/>
      <c r="I101" s="9"/>
      <c r="J101" s="9"/>
      <c r="K101" s="10"/>
      <c r="L101" s="10"/>
      <c r="M101" s="9"/>
      <c r="N101" s="9"/>
      <c r="O101" s="9"/>
      <c r="P101"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01" s="9"/>
      <c r="R101" s="9"/>
      <c r="S101" s="38"/>
      <c r="T101" s="38"/>
      <c r="U101" s="38"/>
      <c r="V101" s="38"/>
      <c r="W101" s="38"/>
      <c r="X101" s="67" t="str">
        <f>IF(COUNTA(SalCommune[[#This Row],[N°]:[heures annuelles
selon contrat(s)]])=0,"",SalCommune[[#This Row],[Brut]]+SalCommune[[#This Row],[Autres Primes]]+SalCommune[[#This Row],[Part patronale]]-ABS(SalCommune[[#This Row],[Remboursement Mutualité]])-ABS(SalCommune[[#This Row],[Remboursement
Autres]]))</f>
        <v/>
      </c>
      <c r="Y101" s="38"/>
      <c r="Z101"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01" s="8"/>
      <c r="AB101" s="64"/>
      <c r="AC101"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01"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01" s="505"/>
      <c r="AF101" s="187"/>
      <c r="AG101" s="200" t="str">
        <f>IF(COUNTA(SalCommune[[#This Row],[N°]:[heures annuelles
selon contrat(s)]])=0,"",REVEX!$E$9)</f>
        <v/>
      </c>
      <c r="AH101" s="73" t="str">
        <f>IF(SalCommune[[#This Row],[Allocations fonctions]]="","",IF(ISNA(VLOOKUP(SalCommune[[#This Row],[Allocations fonctions]],DROPDOWN[Dropdown82],1,FALSE))=TRUE,"&lt;-- Veuillez choisir l'allocation parmis la liste déroulante.",""))</f>
        <v/>
      </c>
    </row>
    <row r="102" spans="1:34" x14ac:dyDescent="0.25">
      <c r="A102" s="73" t="str">
        <f>IF(SalCommune[[#This Row],[Statut]]="","",IF(ISNA(VLOOKUP(SalCommune[[#This Row],[Statut]],'Grille communale'!$B$3:$B$5,1,FALSE))=TRUE,"Veuillez choisir le statut parmis la liste déroulante",""))</f>
        <v/>
      </c>
      <c r="B102" s="8"/>
      <c r="C102" s="8"/>
      <c r="D102" s="8"/>
      <c r="E102" s="21"/>
      <c r="F102" s="8"/>
      <c r="G102" s="8"/>
      <c r="H102" s="9"/>
      <c r="I102" s="9"/>
      <c r="J102" s="9"/>
      <c r="K102" s="10"/>
      <c r="L102" s="10"/>
      <c r="M102" s="9"/>
      <c r="N102" s="9"/>
      <c r="O102" s="9"/>
      <c r="P102"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02" s="9"/>
      <c r="R102" s="9"/>
      <c r="S102" s="38"/>
      <c r="T102" s="38"/>
      <c r="U102" s="38"/>
      <c r="V102" s="38"/>
      <c r="W102" s="38"/>
      <c r="X102" s="67" t="str">
        <f>IF(COUNTA(SalCommune[[#This Row],[N°]:[heures annuelles
selon contrat(s)]])=0,"",SalCommune[[#This Row],[Brut]]+SalCommune[[#This Row],[Autres Primes]]+SalCommune[[#This Row],[Part patronale]]-ABS(SalCommune[[#This Row],[Remboursement Mutualité]])-ABS(SalCommune[[#This Row],[Remboursement
Autres]]))</f>
        <v/>
      </c>
      <c r="Y102" s="38"/>
      <c r="Z102"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02" s="8"/>
      <c r="AB102" s="64"/>
      <c r="AC102"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02"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02" s="505"/>
      <c r="AF102" s="187"/>
      <c r="AG102" s="200" t="str">
        <f>IF(COUNTA(SalCommune[[#This Row],[N°]:[heures annuelles
selon contrat(s)]])=0,"",REVEX!$E$9)</f>
        <v/>
      </c>
      <c r="AH102" s="73" t="str">
        <f>IF(SalCommune[[#This Row],[Allocations fonctions]]="","",IF(ISNA(VLOOKUP(SalCommune[[#This Row],[Allocations fonctions]],DROPDOWN[Dropdown82],1,FALSE))=TRUE,"&lt;-- Veuillez choisir l'allocation parmis la liste déroulante.",""))</f>
        <v/>
      </c>
    </row>
    <row r="103" spans="1:34" x14ac:dyDescent="0.25">
      <c r="A103" s="73" t="str">
        <f>IF(SalCommune[[#This Row],[Statut]]="","",IF(ISNA(VLOOKUP(SalCommune[[#This Row],[Statut]],'Grille communale'!$B$3:$B$5,1,FALSE))=TRUE,"Veuillez choisir le statut parmis la liste déroulante",""))</f>
        <v/>
      </c>
      <c r="B103" s="8"/>
      <c r="C103" s="8"/>
      <c r="D103" s="8"/>
      <c r="E103" s="21"/>
      <c r="F103" s="8"/>
      <c r="G103" s="8"/>
      <c r="H103" s="9"/>
      <c r="I103" s="9"/>
      <c r="J103" s="9"/>
      <c r="K103" s="10"/>
      <c r="L103" s="10"/>
      <c r="M103" s="9"/>
      <c r="N103" s="9"/>
      <c r="O103" s="9"/>
      <c r="P103"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03" s="9"/>
      <c r="R103" s="9"/>
      <c r="S103" s="38"/>
      <c r="T103" s="38"/>
      <c r="U103" s="38"/>
      <c r="V103" s="38"/>
      <c r="W103" s="38"/>
      <c r="X103" s="67" t="str">
        <f>IF(COUNTA(SalCommune[[#This Row],[N°]:[heures annuelles
selon contrat(s)]])=0,"",SalCommune[[#This Row],[Brut]]+SalCommune[[#This Row],[Autres Primes]]+SalCommune[[#This Row],[Part patronale]]-ABS(SalCommune[[#This Row],[Remboursement Mutualité]])-ABS(SalCommune[[#This Row],[Remboursement
Autres]]))</f>
        <v/>
      </c>
      <c r="Y103" s="38"/>
      <c r="Z103"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03" s="8"/>
      <c r="AB103" s="64"/>
      <c r="AC103"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03"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03" s="505"/>
      <c r="AF103" s="187"/>
      <c r="AG103" s="200" t="str">
        <f>IF(COUNTA(SalCommune[[#This Row],[N°]:[heures annuelles
selon contrat(s)]])=0,"",REVEX!$E$9)</f>
        <v/>
      </c>
      <c r="AH103" s="73" t="str">
        <f>IF(SalCommune[[#This Row],[Allocations fonctions]]="","",IF(ISNA(VLOOKUP(SalCommune[[#This Row],[Allocations fonctions]],DROPDOWN[Dropdown82],1,FALSE))=TRUE,"&lt;-- Veuillez choisir l'allocation parmis la liste déroulante.",""))</f>
        <v/>
      </c>
    </row>
    <row r="104" spans="1:34" x14ac:dyDescent="0.25">
      <c r="A104" s="73" t="str">
        <f>IF(SalCommune[[#This Row],[Statut]]="","",IF(ISNA(VLOOKUP(SalCommune[[#This Row],[Statut]],'Grille communale'!$B$3:$B$5,1,FALSE))=TRUE,"Veuillez choisir le statut parmis la liste déroulante",""))</f>
        <v/>
      </c>
      <c r="B104" s="8"/>
      <c r="C104" s="8"/>
      <c r="D104" s="8"/>
      <c r="E104" s="21"/>
      <c r="F104" s="8"/>
      <c r="G104" s="8"/>
      <c r="H104" s="9"/>
      <c r="I104" s="9"/>
      <c r="J104" s="9"/>
      <c r="K104" s="10"/>
      <c r="L104" s="10"/>
      <c r="M104" s="9"/>
      <c r="N104" s="9"/>
      <c r="O104" s="9"/>
      <c r="P104"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04" s="9"/>
      <c r="R104" s="9"/>
      <c r="S104" s="38"/>
      <c r="T104" s="38"/>
      <c r="U104" s="38"/>
      <c r="V104" s="38"/>
      <c r="W104" s="38"/>
      <c r="X104" s="67" t="str">
        <f>IF(COUNTA(SalCommune[[#This Row],[N°]:[heures annuelles
selon contrat(s)]])=0,"",SalCommune[[#This Row],[Brut]]+SalCommune[[#This Row],[Autres Primes]]+SalCommune[[#This Row],[Part patronale]]-ABS(SalCommune[[#This Row],[Remboursement Mutualité]])-ABS(SalCommune[[#This Row],[Remboursement
Autres]]))</f>
        <v/>
      </c>
      <c r="Y104" s="38"/>
      <c r="Z104"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04" s="8"/>
      <c r="AB104" s="64"/>
      <c r="AC104"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04"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04" s="505"/>
      <c r="AF104" s="187"/>
      <c r="AG104" s="200" t="str">
        <f>IF(COUNTA(SalCommune[[#This Row],[N°]:[heures annuelles
selon contrat(s)]])=0,"",REVEX!$E$9)</f>
        <v/>
      </c>
      <c r="AH104" s="73" t="str">
        <f>IF(SalCommune[[#This Row],[Allocations fonctions]]="","",IF(ISNA(VLOOKUP(SalCommune[[#This Row],[Allocations fonctions]],DROPDOWN[Dropdown82],1,FALSE))=TRUE,"&lt;-- Veuillez choisir l'allocation parmis la liste déroulante.",""))</f>
        <v/>
      </c>
    </row>
    <row r="105" spans="1:34" x14ac:dyDescent="0.25">
      <c r="A105" s="73" t="str">
        <f>IF(SalCommune[[#This Row],[Statut]]="","",IF(ISNA(VLOOKUP(SalCommune[[#This Row],[Statut]],'Grille communale'!$B$3:$B$5,1,FALSE))=TRUE,"Veuillez choisir le statut parmis la liste déroulante",""))</f>
        <v/>
      </c>
      <c r="B105" s="8"/>
      <c r="C105" s="8"/>
      <c r="D105" s="8"/>
      <c r="E105" s="21"/>
      <c r="F105" s="8"/>
      <c r="G105" s="8"/>
      <c r="H105" s="9"/>
      <c r="I105" s="9"/>
      <c r="J105" s="9"/>
      <c r="K105" s="10"/>
      <c r="L105" s="10"/>
      <c r="M105" s="9"/>
      <c r="N105" s="9"/>
      <c r="O105" s="9"/>
      <c r="P105"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05" s="9"/>
      <c r="R105" s="9"/>
      <c r="S105" s="38"/>
      <c r="T105" s="38"/>
      <c r="U105" s="38"/>
      <c r="V105" s="38"/>
      <c r="W105" s="38"/>
      <c r="X105" s="67" t="str">
        <f>IF(COUNTA(SalCommune[[#This Row],[N°]:[heures annuelles
selon contrat(s)]])=0,"",SalCommune[[#This Row],[Brut]]+SalCommune[[#This Row],[Autres Primes]]+SalCommune[[#This Row],[Part patronale]]-ABS(SalCommune[[#This Row],[Remboursement Mutualité]])-ABS(SalCommune[[#This Row],[Remboursement
Autres]]))</f>
        <v/>
      </c>
      <c r="Y105" s="38"/>
      <c r="Z105"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05" s="8"/>
      <c r="AB105" s="64"/>
      <c r="AC105"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05"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05" s="505"/>
      <c r="AF105" s="187"/>
      <c r="AG105" s="200" t="str">
        <f>IF(COUNTA(SalCommune[[#This Row],[N°]:[heures annuelles
selon contrat(s)]])=0,"",REVEX!$E$9)</f>
        <v/>
      </c>
      <c r="AH105" s="73" t="str">
        <f>IF(SalCommune[[#This Row],[Allocations fonctions]]="","",IF(ISNA(VLOOKUP(SalCommune[[#This Row],[Allocations fonctions]],DROPDOWN[Dropdown82],1,FALSE))=TRUE,"&lt;-- Veuillez choisir l'allocation parmis la liste déroulante.",""))</f>
        <v/>
      </c>
    </row>
    <row r="106" spans="1:34" x14ac:dyDescent="0.25">
      <c r="A106" s="73" t="str">
        <f>IF(SalCommune[[#This Row],[Statut]]="","",IF(ISNA(VLOOKUP(SalCommune[[#This Row],[Statut]],'Grille communale'!$B$3:$B$5,1,FALSE))=TRUE,"Veuillez choisir le statut parmis la liste déroulante",""))</f>
        <v/>
      </c>
      <c r="B106" s="8"/>
      <c r="C106" s="8"/>
      <c r="D106" s="8"/>
      <c r="E106" s="21"/>
      <c r="F106" s="8"/>
      <c r="G106" s="8"/>
      <c r="H106" s="9"/>
      <c r="I106" s="9"/>
      <c r="J106" s="9"/>
      <c r="K106" s="10"/>
      <c r="L106" s="10"/>
      <c r="M106" s="9"/>
      <c r="N106" s="9"/>
      <c r="O106" s="9"/>
      <c r="P106"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06" s="9"/>
      <c r="R106" s="9"/>
      <c r="S106" s="38"/>
      <c r="T106" s="38"/>
      <c r="U106" s="38"/>
      <c r="V106" s="38"/>
      <c r="W106" s="38"/>
      <c r="X106" s="67" t="str">
        <f>IF(COUNTA(SalCommune[[#This Row],[N°]:[heures annuelles
selon contrat(s)]])=0,"",SalCommune[[#This Row],[Brut]]+SalCommune[[#This Row],[Autres Primes]]+SalCommune[[#This Row],[Part patronale]]-ABS(SalCommune[[#This Row],[Remboursement Mutualité]])-ABS(SalCommune[[#This Row],[Remboursement
Autres]]))</f>
        <v/>
      </c>
      <c r="Y106" s="38"/>
      <c r="Z106"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06" s="8"/>
      <c r="AB106" s="64"/>
      <c r="AC106"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06"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06" s="505"/>
      <c r="AF106" s="187"/>
      <c r="AG106" s="200" t="str">
        <f>IF(COUNTA(SalCommune[[#This Row],[N°]:[heures annuelles
selon contrat(s)]])=0,"",REVEX!$E$9)</f>
        <v/>
      </c>
      <c r="AH106" s="73" t="str">
        <f>IF(SalCommune[[#This Row],[Allocations fonctions]]="","",IF(ISNA(VLOOKUP(SalCommune[[#This Row],[Allocations fonctions]],DROPDOWN[Dropdown82],1,FALSE))=TRUE,"&lt;-- Veuillez choisir l'allocation parmis la liste déroulante.",""))</f>
        <v/>
      </c>
    </row>
    <row r="107" spans="1:34" x14ac:dyDescent="0.25">
      <c r="A107" s="73" t="str">
        <f>IF(SalCommune[[#This Row],[Statut]]="","",IF(ISNA(VLOOKUP(SalCommune[[#This Row],[Statut]],'Grille communale'!$B$3:$B$5,1,FALSE))=TRUE,"Veuillez choisir le statut parmis la liste déroulante",""))</f>
        <v/>
      </c>
      <c r="B107" s="8"/>
      <c r="C107" s="8"/>
      <c r="D107" s="8"/>
      <c r="E107" s="21"/>
      <c r="F107" s="8"/>
      <c r="G107" s="8"/>
      <c r="H107" s="9"/>
      <c r="I107" s="9"/>
      <c r="J107" s="9"/>
      <c r="K107" s="10"/>
      <c r="L107" s="10"/>
      <c r="M107" s="9"/>
      <c r="N107" s="9"/>
      <c r="O107" s="9"/>
      <c r="P107"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07" s="9"/>
      <c r="R107" s="9"/>
      <c r="S107" s="38"/>
      <c r="T107" s="38"/>
      <c r="U107" s="38"/>
      <c r="V107" s="38"/>
      <c r="W107" s="38"/>
      <c r="X107" s="67" t="str">
        <f>IF(COUNTA(SalCommune[[#This Row],[N°]:[heures annuelles
selon contrat(s)]])=0,"",SalCommune[[#This Row],[Brut]]+SalCommune[[#This Row],[Autres Primes]]+SalCommune[[#This Row],[Part patronale]]-ABS(SalCommune[[#This Row],[Remboursement Mutualité]])-ABS(SalCommune[[#This Row],[Remboursement
Autres]]))</f>
        <v/>
      </c>
      <c r="Y107" s="38"/>
      <c r="Z107"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07" s="8"/>
      <c r="AB107" s="64"/>
      <c r="AC107"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07"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07" s="505"/>
      <c r="AF107" s="187"/>
      <c r="AG107" s="200" t="str">
        <f>IF(COUNTA(SalCommune[[#This Row],[N°]:[heures annuelles
selon contrat(s)]])=0,"",REVEX!$E$9)</f>
        <v/>
      </c>
      <c r="AH107" s="73" t="str">
        <f>IF(SalCommune[[#This Row],[Allocations fonctions]]="","",IF(ISNA(VLOOKUP(SalCommune[[#This Row],[Allocations fonctions]],DROPDOWN[Dropdown82],1,FALSE))=TRUE,"&lt;-- Veuillez choisir l'allocation parmis la liste déroulante.",""))</f>
        <v/>
      </c>
    </row>
    <row r="108" spans="1:34" x14ac:dyDescent="0.25">
      <c r="A108" s="73" t="str">
        <f>IF(SalCommune[[#This Row],[Statut]]="","",IF(ISNA(VLOOKUP(SalCommune[[#This Row],[Statut]],'Grille communale'!$B$3:$B$5,1,FALSE))=TRUE,"Veuillez choisir le statut parmis la liste déroulante",""))</f>
        <v/>
      </c>
      <c r="B108" s="8"/>
      <c r="C108" s="8"/>
      <c r="D108" s="8"/>
      <c r="E108" s="21"/>
      <c r="F108" s="8"/>
      <c r="G108" s="8"/>
      <c r="H108" s="9"/>
      <c r="I108" s="9"/>
      <c r="J108" s="9"/>
      <c r="K108" s="10"/>
      <c r="L108" s="10"/>
      <c r="M108" s="9"/>
      <c r="N108" s="9"/>
      <c r="O108" s="9"/>
      <c r="P108"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08" s="9"/>
      <c r="R108" s="9"/>
      <c r="S108" s="38"/>
      <c r="T108" s="38"/>
      <c r="U108" s="38"/>
      <c r="V108" s="38"/>
      <c r="W108" s="38"/>
      <c r="X108" s="67" t="str">
        <f>IF(COUNTA(SalCommune[[#This Row],[N°]:[heures annuelles
selon contrat(s)]])=0,"",SalCommune[[#This Row],[Brut]]+SalCommune[[#This Row],[Autres Primes]]+SalCommune[[#This Row],[Part patronale]]-ABS(SalCommune[[#This Row],[Remboursement Mutualité]])-ABS(SalCommune[[#This Row],[Remboursement
Autres]]))</f>
        <v/>
      </c>
      <c r="Y108" s="38"/>
      <c r="Z108"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08" s="8"/>
      <c r="AB108" s="64"/>
      <c r="AC108"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08"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08" s="505"/>
      <c r="AF108" s="187"/>
      <c r="AG108" s="200" t="str">
        <f>IF(COUNTA(SalCommune[[#This Row],[N°]:[heures annuelles
selon contrat(s)]])=0,"",REVEX!$E$9)</f>
        <v/>
      </c>
      <c r="AH108" s="73" t="str">
        <f>IF(SalCommune[[#This Row],[Allocations fonctions]]="","",IF(ISNA(VLOOKUP(SalCommune[[#This Row],[Allocations fonctions]],DROPDOWN[Dropdown82],1,FALSE))=TRUE,"&lt;-- Veuillez choisir l'allocation parmis la liste déroulante.",""))</f>
        <v/>
      </c>
    </row>
    <row r="109" spans="1:34" x14ac:dyDescent="0.25">
      <c r="A109" s="73" t="str">
        <f>IF(SalCommune[[#This Row],[Statut]]="","",IF(ISNA(VLOOKUP(SalCommune[[#This Row],[Statut]],'Grille communale'!$B$3:$B$5,1,FALSE))=TRUE,"Veuillez choisir le statut parmis la liste déroulante",""))</f>
        <v/>
      </c>
      <c r="B109" s="8"/>
      <c r="C109" s="8"/>
      <c r="D109" s="8"/>
      <c r="E109" s="21"/>
      <c r="F109" s="8"/>
      <c r="G109" s="8"/>
      <c r="H109" s="9"/>
      <c r="I109" s="9"/>
      <c r="J109" s="9"/>
      <c r="K109" s="10"/>
      <c r="L109" s="10"/>
      <c r="M109" s="9"/>
      <c r="N109" s="9"/>
      <c r="O109" s="9"/>
      <c r="P109"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09" s="9"/>
      <c r="R109" s="9"/>
      <c r="S109" s="38"/>
      <c r="T109" s="38"/>
      <c r="U109" s="38"/>
      <c r="V109" s="38"/>
      <c r="W109" s="38"/>
      <c r="X109" s="67" t="str">
        <f>IF(COUNTA(SalCommune[[#This Row],[N°]:[heures annuelles
selon contrat(s)]])=0,"",SalCommune[[#This Row],[Brut]]+SalCommune[[#This Row],[Autres Primes]]+SalCommune[[#This Row],[Part patronale]]-ABS(SalCommune[[#This Row],[Remboursement Mutualité]])-ABS(SalCommune[[#This Row],[Remboursement
Autres]]))</f>
        <v/>
      </c>
      <c r="Y109" s="38"/>
      <c r="Z109"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09" s="8"/>
      <c r="AB109" s="64"/>
      <c r="AC109"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09"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09" s="505"/>
      <c r="AF109" s="187"/>
      <c r="AG109" s="200" t="str">
        <f>IF(COUNTA(SalCommune[[#This Row],[N°]:[heures annuelles
selon contrat(s)]])=0,"",REVEX!$E$9)</f>
        <v/>
      </c>
      <c r="AH109" s="73" t="str">
        <f>IF(SalCommune[[#This Row],[Allocations fonctions]]="","",IF(ISNA(VLOOKUP(SalCommune[[#This Row],[Allocations fonctions]],DROPDOWN[Dropdown82],1,FALSE))=TRUE,"&lt;-- Veuillez choisir l'allocation parmis la liste déroulante.",""))</f>
        <v/>
      </c>
    </row>
    <row r="110" spans="1:34" x14ac:dyDescent="0.25">
      <c r="A110" s="73" t="str">
        <f>IF(SalCommune[[#This Row],[Statut]]="","",IF(ISNA(VLOOKUP(SalCommune[[#This Row],[Statut]],'Grille communale'!$B$3:$B$5,1,FALSE))=TRUE,"Veuillez choisir le statut parmis la liste déroulante",""))</f>
        <v/>
      </c>
      <c r="B110" s="8"/>
      <c r="C110" s="8"/>
      <c r="D110" s="8"/>
      <c r="E110" s="21"/>
      <c r="F110" s="8"/>
      <c r="G110" s="8"/>
      <c r="H110" s="9"/>
      <c r="I110" s="9"/>
      <c r="J110" s="9"/>
      <c r="K110" s="10"/>
      <c r="L110" s="10"/>
      <c r="M110" s="9"/>
      <c r="N110" s="9"/>
      <c r="O110" s="9"/>
      <c r="P110"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10" s="9"/>
      <c r="R110" s="9"/>
      <c r="S110" s="38"/>
      <c r="T110" s="38"/>
      <c r="U110" s="38"/>
      <c r="V110" s="38"/>
      <c r="W110" s="38"/>
      <c r="X110" s="67" t="str">
        <f>IF(COUNTA(SalCommune[[#This Row],[N°]:[heures annuelles
selon contrat(s)]])=0,"",SalCommune[[#This Row],[Brut]]+SalCommune[[#This Row],[Autres Primes]]+SalCommune[[#This Row],[Part patronale]]-ABS(SalCommune[[#This Row],[Remboursement Mutualité]])-ABS(SalCommune[[#This Row],[Remboursement
Autres]]))</f>
        <v/>
      </c>
      <c r="Y110" s="38"/>
      <c r="Z110"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10" s="8"/>
      <c r="AB110" s="64"/>
      <c r="AC110"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10"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10" s="505"/>
      <c r="AF110" s="187"/>
      <c r="AG110" s="200" t="str">
        <f>IF(COUNTA(SalCommune[[#This Row],[N°]:[heures annuelles
selon contrat(s)]])=0,"",REVEX!$E$9)</f>
        <v/>
      </c>
      <c r="AH110" s="73" t="str">
        <f>IF(SalCommune[[#This Row],[Allocations fonctions]]="","",IF(ISNA(VLOOKUP(SalCommune[[#This Row],[Allocations fonctions]],DROPDOWN[Dropdown82],1,FALSE))=TRUE,"&lt;-- Veuillez choisir l'allocation parmis la liste déroulante.",""))</f>
        <v/>
      </c>
    </row>
    <row r="111" spans="1:34" x14ac:dyDescent="0.25">
      <c r="A111" s="73" t="str">
        <f>IF(SalCommune[[#This Row],[Statut]]="","",IF(ISNA(VLOOKUP(SalCommune[[#This Row],[Statut]],'Grille communale'!$B$3:$B$5,1,FALSE))=TRUE,"Veuillez choisir le statut parmis la liste déroulante",""))</f>
        <v/>
      </c>
      <c r="B111" s="8"/>
      <c r="C111" s="8"/>
      <c r="D111" s="8"/>
      <c r="E111" s="21"/>
      <c r="F111" s="8"/>
      <c r="G111" s="8"/>
      <c r="H111" s="9"/>
      <c r="I111" s="9"/>
      <c r="J111" s="9"/>
      <c r="K111" s="10"/>
      <c r="L111" s="10"/>
      <c r="M111" s="9"/>
      <c r="N111" s="9"/>
      <c r="O111" s="9"/>
      <c r="P111"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11" s="9"/>
      <c r="R111" s="9"/>
      <c r="S111" s="38"/>
      <c r="T111" s="38"/>
      <c r="U111" s="38"/>
      <c r="V111" s="38"/>
      <c r="W111" s="38"/>
      <c r="X111" s="67" t="str">
        <f>IF(COUNTA(SalCommune[[#This Row],[N°]:[heures annuelles
selon contrat(s)]])=0,"",SalCommune[[#This Row],[Brut]]+SalCommune[[#This Row],[Autres Primes]]+SalCommune[[#This Row],[Part patronale]]-ABS(SalCommune[[#This Row],[Remboursement Mutualité]])-ABS(SalCommune[[#This Row],[Remboursement
Autres]]))</f>
        <v/>
      </c>
      <c r="Y111" s="38"/>
      <c r="Z111"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11" s="8"/>
      <c r="AB111" s="64"/>
      <c r="AC111"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11"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11" s="505"/>
      <c r="AF111" s="187"/>
      <c r="AG111" s="200" t="str">
        <f>IF(COUNTA(SalCommune[[#This Row],[N°]:[heures annuelles
selon contrat(s)]])=0,"",REVEX!$E$9)</f>
        <v/>
      </c>
      <c r="AH111" s="73" t="str">
        <f>IF(SalCommune[[#This Row],[Allocations fonctions]]="","",IF(ISNA(VLOOKUP(SalCommune[[#This Row],[Allocations fonctions]],DROPDOWN[Dropdown82],1,FALSE))=TRUE,"&lt;-- Veuillez choisir l'allocation parmis la liste déroulante.",""))</f>
        <v/>
      </c>
    </row>
    <row r="112" spans="1:34" x14ac:dyDescent="0.25">
      <c r="A112" s="73" t="str">
        <f>IF(SalCommune[[#This Row],[Statut]]="","",IF(ISNA(VLOOKUP(SalCommune[[#This Row],[Statut]],'Grille communale'!$B$3:$B$5,1,FALSE))=TRUE,"Veuillez choisir le statut parmis la liste déroulante",""))</f>
        <v/>
      </c>
      <c r="B112" s="8"/>
      <c r="C112" s="8"/>
      <c r="D112" s="8"/>
      <c r="E112" s="21"/>
      <c r="F112" s="8"/>
      <c r="G112" s="8"/>
      <c r="H112" s="9"/>
      <c r="I112" s="9"/>
      <c r="J112" s="9"/>
      <c r="K112" s="10"/>
      <c r="L112" s="10"/>
      <c r="M112" s="9"/>
      <c r="N112" s="9"/>
      <c r="O112" s="9"/>
      <c r="P112"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12" s="9"/>
      <c r="R112" s="9"/>
      <c r="S112" s="38"/>
      <c r="T112" s="38"/>
      <c r="U112" s="38"/>
      <c r="V112" s="38"/>
      <c r="W112" s="38"/>
      <c r="X112" s="67" t="str">
        <f>IF(COUNTA(SalCommune[[#This Row],[N°]:[heures annuelles
selon contrat(s)]])=0,"",SalCommune[[#This Row],[Brut]]+SalCommune[[#This Row],[Autres Primes]]+SalCommune[[#This Row],[Part patronale]]-ABS(SalCommune[[#This Row],[Remboursement Mutualité]])-ABS(SalCommune[[#This Row],[Remboursement
Autres]]))</f>
        <v/>
      </c>
      <c r="Y112" s="38"/>
      <c r="Z112"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12" s="8"/>
      <c r="AB112" s="64"/>
      <c r="AC112"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12"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12" s="505"/>
      <c r="AF112" s="187"/>
      <c r="AG112" s="200" t="str">
        <f>IF(COUNTA(SalCommune[[#This Row],[N°]:[heures annuelles
selon contrat(s)]])=0,"",REVEX!$E$9)</f>
        <v/>
      </c>
      <c r="AH112" s="73" t="str">
        <f>IF(SalCommune[[#This Row],[Allocations fonctions]]="","",IF(ISNA(VLOOKUP(SalCommune[[#This Row],[Allocations fonctions]],DROPDOWN[Dropdown82],1,FALSE))=TRUE,"&lt;-- Veuillez choisir l'allocation parmis la liste déroulante.",""))</f>
        <v/>
      </c>
    </row>
    <row r="113" spans="1:34" x14ac:dyDescent="0.25">
      <c r="A113" s="73" t="str">
        <f>IF(SalCommune[[#This Row],[Statut]]="","",IF(ISNA(VLOOKUP(SalCommune[[#This Row],[Statut]],'Grille communale'!$B$3:$B$5,1,FALSE))=TRUE,"Veuillez choisir le statut parmis la liste déroulante",""))</f>
        <v/>
      </c>
      <c r="B113" s="8"/>
      <c r="C113" s="8"/>
      <c r="D113" s="8"/>
      <c r="E113" s="21"/>
      <c r="F113" s="8"/>
      <c r="G113" s="8"/>
      <c r="H113" s="9"/>
      <c r="I113" s="9"/>
      <c r="J113" s="9"/>
      <c r="K113" s="10"/>
      <c r="L113" s="10"/>
      <c r="M113" s="9"/>
      <c r="N113" s="9"/>
      <c r="O113" s="9"/>
      <c r="P113"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13" s="9"/>
      <c r="R113" s="9"/>
      <c r="S113" s="38"/>
      <c r="T113" s="38"/>
      <c r="U113" s="38"/>
      <c r="V113" s="38"/>
      <c r="W113" s="38"/>
      <c r="X113" s="67" t="str">
        <f>IF(COUNTA(SalCommune[[#This Row],[N°]:[heures annuelles
selon contrat(s)]])=0,"",SalCommune[[#This Row],[Brut]]+SalCommune[[#This Row],[Autres Primes]]+SalCommune[[#This Row],[Part patronale]]-ABS(SalCommune[[#This Row],[Remboursement Mutualité]])-ABS(SalCommune[[#This Row],[Remboursement
Autres]]))</f>
        <v/>
      </c>
      <c r="Y113" s="38"/>
      <c r="Z113"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13" s="8"/>
      <c r="AB113" s="64"/>
      <c r="AC113"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13"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13" s="505"/>
      <c r="AF113" s="187"/>
      <c r="AG113" s="200" t="str">
        <f>IF(COUNTA(SalCommune[[#This Row],[N°]:[heures annuelles
selon contrat(s)]])=0,"",REVEX!$E$9)</f>
        <v/>
      </c>
      <c r="AH113" s="73" t="str">
        <f>IF(SalCommune[[#This Row],[Allocations fonctions]]="","",IF(ISNA(VLOOKUP(SalCommune[[#This Row],[Allocations fonctions]],DROPDOWN[Dropdown82],1,FALSE))=TRUE,"&lt;-- Veuillez choisir l'allocation parmis la liste déroulante.",""))</f>
        <v/>
      </c>
    </row>
    <row r="114" spans="1:34" x14ac:dyDescent="0.25">
      <c r="A114" s="73" t="str">
        <f>IF(SalCommune[[#This Row],[Statut]]="","",IF(ISNA(VLOOKUP(SalCommune[[#This Row],[Statut]],'Grille communale'!$B$3:$B$5,1,FALSE))=TRUE,"Veuillez choisir le statut parmis la liste déroulante",""))</f>
        <v/>
      </c>
      <c r="B114" s="8"/>
      <c r="C114" s="8"/>
      <c r="D114" s="8"/>
      <c r="E114" s="21"/>
      <c r="F114" s="8"/>
      <c r="G114" s="8"/>
      <c r="H114" s="9"/>
      <c r="I114" s="9"/>
      <c r="J114" s="9"/>
      <c r="K114" s="10"/>
      <c r="L114" s="10"/>
      <c r="M114" s="9"/>
      <c r="N114" s="9"/>
      <c r="O114" s="9"/>
      <c r="P114"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14" s="9"/>
      <c r="R114" s="9"/>
      <c r="S114" s="38"/>
      <c r="T114" s="38"/>
      <c r="U114" s="38"/>
      <c r="V114" s="38"/>
      <c r="W114" s="38"/>
      <c r="X114" s="67" t="str">
        <f>IF(COUNTA(SalCommune[[#This Row],[N°]:[heures annuelles
selon contrat(s)]])=0,"",SalCommune[[#This Row],[Brut]]+SalCommune[[#This Row],[Autres Primes]]+SalCommune[[#This Row],[Part patronale]]-ABS(SalCommune[[#This Row],[Remboursement Mutualité]])-ABS(SalCommune[[#This Row],[Remboursement
Autres]]))</f>
        <v/>
      </c>
      <c r="Y114" s="38"/>
      <c r="Z114"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14" s="8"/>
      <c r="AB114" s="64"/>
      <c r="AC114"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14"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14" s="505"/>
      <c r="AF114" s="187"/>
      <c r="AG114" s="200" t="str">
        <f>IF(COUNTA(SalCommune[[#This Row],[N°]:[heures annuelles
selon contrat(s)]])=0,"",REVEX!$E$9)</f>
        <v/>
      </c>
      <c r="AH114" s="73" t="str">
        <f>IF(SalCommune[[#This Row],[Allocations fonctions]]="","",IF(ISNA(VLOOKUP(SalCommune[[#This Row],[Allocations fonctions]],DROPDOWN[Dropdown82],1,FALSE))=TRUE,"&lt;-- Veuillez choisir l'allocation parmis la liste déroulante.",""))</f>
        <v/>
      </c>
    </row>
    <row r="115" spans="1:34" x14ac:dyDescent="0.25">
      <c r="A115" s="73" t="str">
        <f>IF(SalCommune[[#This Row],[Statut]]="","",IF(ISNA(VLOOKUP(SalCommune[[#This Row],[Statut]],'Grille communale'!$B$3:$B$5,1,FALSE))=TRUE,"Veuillez choisir le statut parmis la liste déroulante",""))</f>
        <v/>
      </c>
      <c r="B115" s="8"/>
      <c r="C115" s="8"/>
      <c r="D115" s="8"/>
      <c r="E115" s="21"/>
      <c r="F115" s="8"/>
      <c r="G115" s="8"/>
      <c r="H115" s="9"/>
      <c r="I115" s="9"/>
      <c r="J115" s="9"/>
      <c r="K115" s="10"/>
      <c r="L115" s="10"/>
      <c r="M115" s="9"/>
      <c r="N115" s="9"/>
      <c r="O115" s="9"/>
      <c r="P115"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15" s="9"/>
      <c r="R115" s="9"/>
      <c r="S115" s="38"/>
      <c r="T115" s="38"/>
      <c r="U115" s="38"/>
      <c r="V115" s="38"/>
      <c r="W115" s="38"/>
      <c r="X115" s="67" t="str">
        <f>IF(COUNTA(SalCommune[[#This Row],[N°]:[heures annuelles
selon contrat(s)]])=0,"",SalCommune[[#This Row],[Brut]]+SalCommune[[#This Row],[Autres Primes]]+SalCommune[[#This Row],[Part patronale]]-ABS(SalCommune[[#This Row],[Remboursement Mutualité]])-ABS(SalCommune[[#This Row],[Remboursement
Autres]]))</f>
        <v/>
      </c>
      <c r="Y115" s="38"/>
      <c r="Z115"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15" s="8"/>
      <c r="AB115" s="64"/>
      <c r="AC115"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15"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15" s="505"/>
      <c r="AF115" s="187"/>
      <c r="AG115" s="200" t="str">
        <f>IF(COUNTA(SalCommune[[#This Row],[N°]:[heures annuelles
selon contrat(s)]])=0,"",REVEX!$E$9)</f>
        <v/>
      </c>
      <c r="AH115" s="73" t="str">
        <f>IF(SalCommune[[#This Row],[Allocations fonctions]]="","",IF(ISNA(VLOOKUP(SalCommune[[#This Row],[Allocations fonctions]],DROPDOWN[Dropdown82],1,FALSE))=TRUE,"&lt;-- Veuillez choisir l'allocation parmis la liste déroulante.",""))</f>
        <v/>
      </c>
    </row>
    <row r="116" spans="1:34" x14ac:dyDescent="0.25">
      <c r="A116" s="73" t="str">
        <f>IF(SalCommune[[#This Row],[Statut]]="","",IF(ISNA(VLOOKUP(SalCommune[[#This Row],[Statut]],'Grille communale'!$B$3:$B$5,1,FALSE))=TRUE,"Veuillez choisir le statut parmis la liste déroulante",""))</f>
        <v/>
      </c>
      <c r="B116" s="8"/>
      <c r="C116" s="8"/>
      <c r="D116" s="8"/>
      <c r="E116" s="21"/>
      <c r="F116" s="8"/>
      <c r="G116" s="8"/>
      <c r="H116" s="9"/>
      <c r="I116" s="9"/>
      <c r="J116" s="9"/>
      <c r="K116" s="10"/>
      <c r="L116" s="10"/>
      <c r="M116" s="9"/>
      <c r="N116" s="9"/>
      <c r="O116" s="9"/>
      <c r="P116"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16" s="9"/>
      <c r="R116" s="9"/>
      <c r="S116" s="38"/>
      <c r="T116" s="38"/>
      <c r="U116" s="38"/>
      <c r="V116" s="38"/>
      <c r="W116" s="38"/>
      <c r="X116" s="67" t="str">
        <f>IF(COUNTA(SalCommune[[#This Row],[N°]:[heures annuelles
selon contrat(s)]])=0,"",SalCommune[[#This Row],[Brut]]+SalCommune[[#This Row],[Autres Primes]]+SalCommune[[#This Row],[Part patronale]]-ABS(SalCommune[[#This Row],[Remboursement Mutualité]])-ABS(SalCommune[[#This Row],[Remboursement
Autres]]))</f>
        <v/>
      </c>
      <c r="Y116" s="38"/>
      <c r="Z116"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16" s="8"/>
      <c r="AB116" s="64"/>
      <c r="AC116"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16"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16" s="505"/>
      <c r="AF116" s="187"/>
      <c r="AG116" s="200" t="str">
        <f>IF(COUNTA(SalCommune[[#This Row],[N°]:[heures annuelles
selon contrat(s)]])=0,"",REVEX!$E$9)</f>
        <v/>
      </c>
      <c r="AH116" s="73" t="str">
        <f>IF(SalCommune[[#This Row],[Allocations fonctions]]="","",IF(ISNA(VLOOKUP(SalCommune[[#This Row],[Allocations fonctions]],DROPDOWN[Dropdown82],1,FALSE))=TRUE,"&lt;-- Veuillez choisir l'allocation parmis la liste déroulante.",""))</f>
        <v/>
      </c>
    </row>
    <row r="117" spans="1:34" x14ac:dyDescent="0.25">
      <c r="A117" s="73" t="str">
        <f>IF(SalCommune[[#This Row],[Statut]]="","",IF(ISNA(VLOOKUP(SalCommune[[#This Row],[Statut]],'Grille communale'!$B$3:$B$5,1,FALSE))=TRUE,"Veuillez choisir le statut parmis la liste déroulante",""))</f>
        <v/>
      </c>
      <c r="B117" s="8"/>
      <c r="C117" s="8"/>
      <c r="D117" s="8"/>
      <c r="E117" s="21"/>
      <c r="F117" s="8"/>
      <c r="G117" s="8"/>
      <c r="H117" s="9"/>
      <c r="I117" s="9"/>
      <c r="J117" s="9"/>
      <c r="K117" s="10"/>
      <c r="L117" s="10"/>
      <c r="M117" s="9"/>
      <c r="N117" s="9"/>
      <c r="O117" s="9"/>
      <c r="P117"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17" s="9"/>
      <c r="R117" s="9"/>
      <c r="S117" s="38"/>
      <c r="T117" s="38"/>
      <c r="U117" s="38"/>
      <c r="V117" s="38"/>
      <c r="W117" s="38"/>
      <c r="X117" s="67" t="str">
        <f>IF(COUNTA(SalCommune[[#This Row],[N°]:[heures annuelles
selon contrat(s)]])=0,"",SalCommune[[#This Row],[Brut]]+SalCommune[[#This Row],[Autres Primes]]+SalCommune[[#This Row],[Part patronale]]-ABS(SalCommune[[#This Row],[Remboursement Mutualité]])-ABS(SalCommune[[#This Row],[Remboursement
Autres]]))</f>
        <v/>
      </c>
      <c r="Y117" s="38"/>
      <c r="Z117"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17" s="8"/>
      <c r="AB117" s="64"/>
      <c r="AC117"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17"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17" s="505"/>
      <c r="AF117" s="187"/>
      <c r="AG117" s="200" t="str">
        <f>IF(COUNTA(SalCommune[[#This Row],[N°]:[heures annuelles
selon contrat(s)]])=0,"",REVEX!$E$9)</f>
        <v/>
      </c>
      <c r="AH117" s="73" t="str">
        <f>IF(SalCommune[[#This Row],[Allocations fonctions]]="","",IF(ISNA(VLOOKUP(SalCommune[[#This Row],[Allocations fonctions]],DROPDOWN[Dropdown82],1,FALSE))=TRUE,"&lt;-- Veuillez choisir l'allocation parmis la liste déroulante.",""))</f>
        <v/>
      </c>
    </row>
    <row r="118" spans="1:34" x14ac:dyDescent="0.25">
      <c r="A118" s="73" t="str">
        <f>IF(SalCommune[[#This Row],[Statut]]="","",IF(ISNA(VLOOKUP(SalCommune[[#This Row],[Statut]],'Grille communale'!$B$3:$B$5,1,FALSE))=TRUE,"Veuillez choisir le statut parmis la liste déroulante",""))</f>
        <v/>
      </c>
      <c r="B118" s="8"/>
      <c r="C118" s="8"/>
      <c r="D118" s="8"/>
      <c r="E118" s="21"/>
      <c r="F118" s="8"/>
      <c r="G118" s="8"/>
      <c r="H118" s="9"/>
      <c r="I118" s="9"/>
      <c r="J118" s="9"/>
      <c r="K118" s="10"/>
      <c r="L118" s="10"/>
      <c r="M118" s="9"/>
      <c r="N118" s="9"/>
      <c r="O118" s="9"/>
      <c r="P118"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18" s="9"/>
      <c r="R118" s="9"/>
      <c r="S118" s="38"/>
      <c r="T118" s="38"/>
      <c r="U118" s="38"/>
      <c r="V118" s="38"/>
      <c r="W118" s="38"/>
      <c r="X118" s="67" t="str">
        <f>IF(COUNTA(SalCommune[[#This Row],[N°]:[heures annuelles
selon contrat(s)]])=0,"",SalCommune[[#This Row],[Brut]]+SalCommune[[#This Row],[Autres Primes]]+SalCommune[[#This Row],[Part patronale]]-ABS(SalCommune[[#This Row],[Remboursement Mutualité]])-ABS(SalCommune[[#This Row],[Remboursement
Autres]]))</f>
        <v/>
      </c>
      <c r="Y118" s="38"/>
      <c r="Z118"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18" s="8"/>
      <c r="AB118" s="64"/>
      <c r="AC118"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18"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18" s="505"/>
      <c r="AF118" s="187"/>
      <c r="AG118" s="200" t="str">
        <f>IF(COUNTA(SalCommune[[#This Row],[N°]:[heures annuelles
selon contrat(s)]])=0,"",REVEX!$E$9)</f>
        <v/>
      </c>
      <c r="AH118" s="73" t="str">
        <f>IF(SalCommune[[#This Row],[Allocations fonctions]]="","",IF(ISNA(VLOOKUP(SalCommune[[#This Row],[Allocations fonctions]],DROPDOWN[Dropdown82],1,FALSE))=TRUE,"&lt;-- Veuillez choisir l'allocation parmis la liste déroulante.",""))</f>
        <v/>
      </c>
    </row>
    <row r="119" spans="1:34" x14ac:dyDescent="0.25">
      <c r="A119" s="73" t="str">
        <f>IF(SalCommune[[#This Row],[Statut]]="","",IF(ISNA(VLOOKUP(SalCommune[[#This Row],[Statut]],'Grille communale'!$B$3:$B$5,1,FALSE))=TRUE,"Veuillez choisir le statut parmis la liste déroulante",""))</f>
        <v/>
      </c>
      <c r="B119" s="8"/>
      <c r="C119" s="8"/>
      <c r="D119" s="8"/>
      <c r="E119" s="21"/>
      <c r="F119" s="8"/>
      <c r="G119" s="8"/>
      <c r="H119" s="9"/>
      <c r="I119" s="9"/>
      <c r="J119" s="9"/>
      <c r="K119" s="10"/>
      <c r="L119" s="10"/>
      <c r="M119" s="9"/>
      <c r="N119" s="9"/>
      <c r="O119" s="9"/>
      <c r="P119"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19" s="9"/>
      <c r="R119" s="9"/>
      <c r="S119" s="38"/>
      <c r="T119" s="38"/>
      <c r="U119" s="38"/>
      <c r="V119" s="38"/>
      <c r="W119" s="38"/>
      <c r="X119" s="67" t="str">
        <f>IF(COUNTA(SalCommune[[#This Row],[N°]:[heures annuelles
selon contrat(s)]])=0,"",SalCommune[[#This Row],[Brut]]+SalCommune[[#This Row],[Autres Primes]]+SalCommune[[#This Row],[Part patronale]]-ABS(SalCommune[[#This Row],[Remboursement Mutualité]])-ABS(SalCommune[[#This Row],[Remboursement
Autres]]))</f>
        <v/>
      </c>
      <c r="Y119" s="38"/>
      <c r="Z119"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19" s="8"/>
      <c r="AB119" s="64"/>
      <c r="AC119"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19"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19" s="505"/>
      <c r="AF119" s="187"/>
      <c r="AG119" s="200" t="str">
        <f>IF(COUNTA(SalCommune[[#This Row],[N°]:[heures annuelles
selon contrat(s)]])=0,"",REVEX!$E$9)</f>
        <v/>
      </c>
      <c r="AH119" s="73" t="str">
        <f>IF(SalCommune[[#This Row],[Allocations fonctions]]="","",IF(ISNA(VLOOKUP(SalCommune[[#This Row],[Allocations fonctions]],DROPDOWN[Dropdown82],1,FALSE))=TRUE,"&lt;-- Veuillez choisir l'allocation parmis la liste déroulante.",""))</f>
        <v/>
      </c>
    </row>
    <row r="120" spans="1:34" x14ac:dyDescent="0.25">
      <c r="A120" s="73" t="str">
        <f>IF(SalCommune[[#This Row],[Statut]]="","",IF(ISNA(VLOOKUP(SalCommune[[#This Row],[Statut]],'Grille communale'!$B$3:$B$5,1,FALSE))=TRUE,"Veuillez choisir le statut parmis la liste déroulante",""))</f>
        <v/>
      </c>
      <c r="B120" s="8"/>
      <c r="C120" s="8"/>
      <c r="D120" s="8"/>
      <c r="E120" s="21"/>
      <c r="F120" s="8"/>
      <c r="G120" s="8"/>
      <c r="H120" s="9"/>
      <c r="I120" s="9"/>
      <c r="J120" s="9"/>
      <c r="K120" s="10"/>
      <c r="L120" s="10"/>
      <c r="M120" s="9"/>
      <c r="N120" s="9"/>
      <c r="O120" s="9"/>
      <c r="P120"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20" s="9"/>
      <c r="R120" s="9"/>
      <c r="S120" s="38"/>
      <c r="T120" s="38"/>
      <c r="U120" s="38"/>
      <c r="V120" s="38"/>
      <c r="W120" s="38"/>
      <c r="X120" s="67" t="str">
        <f>IF(COUNTA(SalCommune[[#This Row],[N°]:[heures annuelles
selon contrat(s)]])=0,"",SalCommune[[#This Row],[Brut]]+SalCommune[[#This Row],[Autres Primes]]+SalCommune[[#This Row],[Part patronale]]-ABS(SalCommune[[#This Row],[Remboursement Mutualité]])-ABS(SalCommune[[#This Row],[Remboursement
Autres]]))</f>
        <v/>
      </c>
      <c r="Y120" s="38"/>
      <c r="Z120"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20" s="8"/>
      <c r="AB120" s="64"/>
      <c r="AC120"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20"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20" s="505"/>
      <c r="AF120" s="187"/>
      <c r="AG120" s="200" t="str">
        <f>IF(COUNTA(SalCommune[[#This Row],[N°]:[heures annuelles
selon contrat(s)]])=0,"",REVEX!$E$9)</f>
        <v/>
      </c>
      <c r="AH120" s="73" t="str">
        <f>IF(SalCommune[[#This Row],[Allocations fonctions]]="","",IF(ISNA(VLOOKUP(SalCommune[[#This Row],[Allocations fonctions]],DROPDOWN[Dropdown82],1,FALSE))=TRUE,"&lt;-- Veuillez choisir l'allocation parmis la liste déroulante.",""))</f>
        <v/>
      </c>
    </row>
    <row r="121" spans="1:34" x14ac:dyDescent="0.25">
      <c r="A121" s="73" t="str">
        <f>IF(SalCommune[[#This Row],[Statut]]="","",IF(ISNA(VLOOKUP(SalCommune[[#This Row],[Statut]],'Grille communale'!$B$3:$B$5,1,FALSE))=TRUE,"Veuillez choisir le statut parmis la liste déroulante",""))</f>
        <v/>
      </c>
      <c r="B121" s="8"/>
      <c r="C121" s="8"/>
      <c r="D121" s="8"/>
      <c r="E121" s="21"/>
      <c r="F121" s="8"/>
      <c r="G121" s="8"/>
      <c r="H121" s="9"/>
      <c r="I121" s="9"/>
      <c r="J121" s="9"/>
      <c r="K121" s="10"/>
      <c r="L121" s="10"/>
      <c r="M121" s="9"/>
      <c r="N121" s="9"/>
      <c r="O121" s="9"/>
      <c r="P121"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21" s="9"/>
      <c r="R121" s="9"/>
      <c r="S121" s="38"/>
      <c r="T121" s="38"/>
      <c r="U121" s="38"/>
      <c r="V121" s="38"/>
      <c r="W121" s="38"/>
      <c r="X121" s="67" t="str">
        <f>IF(COUNTA(SalCommune[[#This Row],[N°]:[heures annuelles
selon contrat(s)]])=0,"",SalCommune[[#This Row],[Brut]]+SalCommune[[#This Row],[Autres Primes]]+SalCommune[[#This Row],[Part patronale]]-ABS(SalCommune[[#This Row],[Remboursement Mutualité]])-ABS(SalCommune[[#This Row],[Remboursement
Autres]]))</f>
        <v/>
      </c>
      <c r="Y121" s="38"/>
      <c r="Z121"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21" s="8"/>
      <c r="AB121" s="64"/>
      <c r="AC121"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21"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21" s="505"/>
      <c r="AF121" s="187"/>
      <c r="AG121" s="200" t="str">
        <f>IF(COUNTA(SalCommune[[#This Row],[N°]:[heures annuelles
selon contrat(s)]])=0,"",REVEX!$E$9)</f>
        <v/>
      </c>
      <c r="AH121" s="73" t="str">
        <f>IF(SalCommune[[#This Row],[Allocations fonctions]]="","",IF(ISNA(VLOOKUP(SalCommune[[#This Row],[Allocations fonctions]],DROPDOWN[Dropdown82],1,FALSE))=TRUE,"&lt;-- Veuillez choisir l'allocation parmis la liste déroulante.",""))</f>
        <v/>
      </c>
    </row>
    <row r="122" spans="1:34" x14ac:dyDescent="0.25">
      <c r="A122" s="73" t="str">
        <f>IF(SalCommune[[#This Row],[Statut]]="","",IF(ISNA(VLOOKUP(SalCommune[[#This Row],[Statut]],'Grille communale'!$B$3:$B$5,1,FALSE))=TRUE,"Veuillez choisir le statut parmis la liste déroulante",""))</f>
        <v/>
      </c>
      <c r="B122" s="8"/>
      <c r="C122" s="8"/>
      <c r="D122" s="8"/>
      <c r="E122" s="21"/>
      <c r="F122" s="8"/>
      <c r="G122" s="8"/>
      <c r="H122" s="9"/>
      <c r="I122" s="9"/>
      <c r="J122" s="9"/>
      <c r="K122" s="10"/>
      <c r="L122" s="10"/>
      <c r="M122" s="9"/>
      <c r="N122" s="9"/>
      <c r="O122" s="9"/>
      <c r="P122"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22" s="9"/>
      <c r="R122" s="9"/>
      <c r="S122" s="38"/>
      <c r="T122" s="38"/>
      <c r="U122" s="38"/>
      <c r="V122" s="38"/>
      <c r="W122" s="38"/>
      <c r="X122" s="67" t="str">
        <f>IF(COUNTA(SalCommune[[#This Row],[N°]:[heures annuelles
selon contrat(s)]])=0,"",SalCommune[[#This Row],[Brut]]+SalCommune[[#This Row],[Autres Primes]]+SalCommune[[#This Row],[Part patronale]]-ABS(SalCommune[[#This Row],[Remboursement Mutualité]])-ABS(SalCommune[[#This Row],[Remboursement
Autres]]))</f>
        <v/>
      </c>
      <c r="Y122" s="38"/>
      <c r="Z122"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22" s="8"/>
      <c r="AB122" s="64"/>
      <c r="AC122"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22"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22" s="505"/>
      <c r="AF122" s="187"/>
      <c r="AG122" s="200" t="str">
        <f>IF(COUNTA(SalCommune[[#This Row],[N°]:[heures annuelles
selon contrat(s)]])=0,"",REVEX!$E$9)</f>
        <v/>
      </c>
      <c r="AH122" s="73" t="str">
        <f>IF(SalCommune[[#This Row],[Allocations fonctions]]="","",IF(ISNA(VLOOKUP(SalCommune[[#This Row],[Allocations fonctions]],DROPDOWN[Dropdown82],1,FALSE))=TRUE,"&lt;-- Veuillez choisir l'allocation parmis la liste déroulante.",""))</f>
        <v/>
      </c>
    </row>
    <row r="123" spans="1:34" x14ac:dyDescent="0.25">
      <c r="A123" s="73" t="str">
        <f>IF(SalCommune[[#This Row],[Statut]]="","",IF(ISNA(VLOOKUP(SalCommune[[#This Row],[Statut]],'Grille communale'!$B$3:$B$5,1,FALSE))=TRUE,"Veuillez choisir le statut parmis la liste déroulante",""))</f>
        <v/>
      </c>
      <c r="B123" s="8"/>
      <c r="C123" s="8"/>
      <c r="D123" s="8"/>
      <c r="E123" s="21"/>
      <c r="F123" s="8"/>
      <c r="G123" s="8"/>
      <c r="H123" s="9"/>
      <c r="I123" s="9"/>
      <c r="J123" s="9"/>
      <c r="K123" s="10"/>
      <c r="L123" s="10"/>
      <c r="M123" s="9"/>
      <c r="N123" s="9"/>
      <c r="O123" s="9"/>
      <c r="P123"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23" s="9"/>
      <c r="R123" s="9"/>
      <c r="S123" s="38"/>
      <c r="T123" s="38"/>
      <c r="U123" s="38"/>
      <c r="V123" s="38"/>
      <c r="W123" s="38"/>
      <c r="X123" s="67" t="str">
        <f>IF(COUNTA(SalCommune[[#This Row],[N°]:[heures annuelles
selon contrat(s)]])=0,"",SalCommune[[#This Row],[Brut]]+SalCommune[[#This Row],[Autres Primes]]+SalCommune[[#This Row],[Part patronale]]-ABS(SalCommune[[#This Row],[Remboursement Mutualité]])-ABS(SalCommune[[#This Row],[Remboursement
Autres]]))</f>
        <v/>
      </c>
      <c r="Y123" s="38"/>
      <c r="Z123"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23" s="8"/>
      <c r="AB123" s="64"/>
      <c r="AC123"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23"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23" s="505"/>
      <c r="AF123" s="187"/>
      <c r="AG123" s="200" t="str">
        <f>IF(COUNTA(SalCommune[[#This Row],[N°]:[heures annuelles
selon contrat(s)]])=0,"",REVEX!$E$9)</f>
        <v/>
      </c>
      <c r="AH123" s="73" t="str">
        <f>IF(SalCommune[[#This Row],[Allocations fonctions]]="","",IF(ISNA(VLOOKUP(SalCommune[[#This Row],[Allocations fonctions]],DROPDOWN[Dropdown82],1,FALSE))=TRUE,"&lt;-- Veuillez choisir l'allocation parmis la liste déroulante.",""))</f>
        <v/>
      </c>
    </row>
    <row r="124" spans="1:34" x14ac:dyDescent="0.25">
      <c r="A124" s="73" t="str">
        <f>IF(SalCommune[[#This Row],[Statut]]="","",IF(ISNA(VLOOKUP(SalCommune[[#This Row],[Statut]],'Grille communale'!$B$3:$B$5,1,FALSE))=TRUE,"Veuillez choisir le statut parmis la liste déroulante",""))</f>
        <v/>
      </c>
      <c r="B124" s="8"/>
      <c r="C124" s="8"/>
      <c r="D124" s="8"/>
      <c r="E124" s="21"/>
      <c r="F124" s="8"/>
      <c r="G124" s="8"/>
      <c r="H124" s="9"/>
      <c r="I124" s="9"/>
      <c r="J124" s="9"/>
      <c r="K124" s="10"/>
      <c r="L124" s="10"/>
      <c r="M124" s="9"/>
      <c r="N124" s="9"/>
      <c r="O124" s="9"/>
      <c r="P124"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24" s="9"/>
      <c r="R124" s="9"/>
      <c r="S124" s="38"/>
      <c r="T124" s="38"/>
      <c r="U124" s="38"/>
      <c r="V124" s="38"/>
      <c r="W124" s="38"/>
      <c r="X124" s="67" t="str">
        <f>IF(COUNTA(SalCommune[[#This Row],[N°]:[heures annuelles
selon contrat(s)]])=0,"",SalCommune[[#This Row],[Brut]]+SalCommune[[#This Row],[Autres Primes]]+SalCommune[[#This Row],[Part patronale]]-ABS(SalCommune[[#This Row],[Remboursement Mutualité]])-ABS(SalCommune[[#This Row],[Remboursement
Autres]]))</f>
        <v/>
      </c>
      <c r="Y124" s="38"/>
      <c r="Z124"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24" s="8"/>
      <c r="AB124" s="64"/>
      <c r="AC124"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24"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24" s="505"/>
      <c r="AF124" s="187"/>
      <c r="AG124" s="200" t="str">
        <f>IF(COUNTA(SalCommune[[#This Row],[N°]:[heures annuelles
selon contrat(s)]])=0,"",REVEX!$E$9)</f>
        <v/>
      </c>
      <c r="AH124" s="73" t="str">
        <f>IF(SalCommune[[#This Row],[Allocations fonctions]]="","",IF(ISNA(VLOOKUP(SalCommune[[#This Row],[Allocations fonctions]],DROPDOWN[Dropdown82],1,FALSE))=TRUE,"&lt;-- Veuillez choisir l'allocation parmis la liste déroulante.",""))</f>
        <v/>
      </c>
    </row>
    <row r="125" spans="1:34" x14ac:dyDescent="0.25">
      <c r="A125" s="73" t="str">
        <f>IF(SalCommune[[#This Row],[Statut]]="","",IF(ISNA(VLOOKUP(SalCommune[[#This Row],[Statut]],'Grille communale'!$B$3:$B$5,1,FALSE))=TRUE,"Veuillez choisir le statut parmis la liste déroulante",""))</f>
        <v/>
      </c>
      <c r="B125" s="8"/>
      <c r="C125" s="8"/>
      <c r="D125" s="8"/>
      <c r="E125" s="21"/>
      <c r="F125" s="8"/>
      <c r="G125" s="8"/>
      <c r="H125" s="9"/>
      <c r="I125" s="9"/>
      <c r="J125" s="9"/>
      <c r="K125" s="10"/>
      <c r="L125" s="10"/>
      <c r="M125" s="9"/>
      <c r="N125" s="9"/>
      <c r="O125" s="9"/>
      <c r="P125"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25" s="9"/>
      <c r="R125" s="9"/>
      <c r="S125" s="38"/>
      <c r="T125" s="38"/>
      <c r="U125" s="38"/>
      <c r="V125" s="38"/>
      <c r="W125" s="38"/>
      <c r="X125" s="67" t="str">
        <f>IF(COUNTA(SalCommune[[#This Row],[N°]:[heures annuelles
selon contrat(s)]])=0,"",SalCommune[[#This Row],[Brut]]+SalCommune[[#This Row],[Autres Primes]]+SalCommune[[#This Row],[Part patronale]]-ABS(SalCommune[[#This Row],[Remboursement Mutualité]])-ABS(SalCommune[[#This Row],[Remboursement
Autres]]))</f>
        <v/>
      </c>
      <c r="Y125" s="38"/>
      <c r="Z125"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25" s="8"/>
      <c r="AB125" s="64"/>
      <c r="AC125"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25"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25" s="505"/>
      <c r="AF125" s="187"/>
      <c r="AG125" s="200" t="str">
        <f>IF(COUNTA(SalCommune[[#This Row],[N°]:[heures annuelles
selon contrat(s)]])=0,"",REVEX!$E$9)</f>
        <v/>
      </c>
      <c r="AH125" s="73" t="str">
        <f>IF(SalCommune[[#This Row],[Allocations fonctions]]="","",IF(ISNA(VLOOKUP(SalCommune[[#This Row],[Allocations fonctions]],DROPDOWN[Dropdown82],1,FALSE))=TRUE,"&lt;-- Veuillez choisir l'allocation parmis la liste déroulante.",""))</f>
        <v/>
      </c>
    </row>
    <row r="126" spans="1:34" x14ac:dyDescent="0.25">
      <c r="A126" s="73" t="str">
        <f>IF(SalCommune[[#This Row],[Statut]]="","",IF(ISNA(VLOOKUP(SalCommune[[#This Row],[Statut]],'Grille communale'!$B$3:$B$5,1,FALSE))=TRUE,"Veuillez choisir le statut parmis la liste déroulante",""))</f>
        <v/>
      </c>
      <c r="B126" s="8"/>
      <c r="C126" s="8"/>
      <c r="D126" s="8"/>
      <c r="E126" s="21"/>
      <c r="F126" s="8"/>
      <c r="G126" s="8"/>
      <c r="H126" s="9"/>
      <c r="I126" s="9"/>
      <c r="J126" s="9"/>
      <c r="K126" s="10"/>
      <c r="L126" s="10"/>
      <c r="M126" s="9"/>
      <c r="N126" s="9"/>
      <c r="O126" s="9"/>
      <c r="P126"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26" s="9"/>
      <c r="R126" s="9"/>
      <c r="S126" s="38"/>
      <c r="T126" s="38"/>
      <c r="U126" s="38"/>
      <c r="V126" s="38"/>
      <c r="W126" s="38"/>
      <c r="X126" s="67" t="str">
        <f>IF(COUNTA(SalCommune[[#This Row],[N°]:[heures annuelles
selon contrat(s)]])=0,"",SalCommune[[#This Row],[Brut]]+SalCommune[[#This Row],[Autres Primes]]+SalCommune[[#This Row],[Part patronale]]-ABS(SalCommune[[#This Row],[Remboursement Mutualité]])-ABS(SalCommune[[#This Row],[Remboursement
Autres]]))</f>
        <v/>
      </c>
      <c r="Y126" s="38"/>
      <c r="Z126"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26" s="8"/>
      <c r="AB126" s="64"/>
      <c r="AC126"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26"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26" s="505"/>
      <c r="AF126" s="187"/>
      <c r="AG126" s="200" t="str">
        <f>IF(COUNTA(SalCommune[[#This Row],[N°]:[heures annuelles
selon contrat(s)]])=0,"",REVEX!$E$9)</f>
        <v/>
      </c>
      <c r="AH126" s="73" t="str">
        <f>IF(SalCommune[[#This Row],[Allocations fonctions]]="","",IF(ISNA(VLOOKUP(SalCommune[[#This Row],[Allocations fonctions]],DROPDOWN[Dropdown82],1,FALSE))=TRUE,"&lt;-- Veuillez choisir l'allocation parmis la liste déroulante.",""))</f>
        <v/>
      </c>
    </row>
    <row r="127" spans="1:34" x14ac:dyDescent="0.25">
      <c r="A127" s="73" t="str">
        <f>IF(SalCommune[[#This Row],[Statut]]="","",IF(ISNA(VLOOKUP(SalCommune[[#This Row],[Statut]],'Grille communale'!$B$3:$B$5,1,FALSE))=TRUE,"Veuillez choisir le statut parmis la liste déroulante",""))</f>
        <v/>
      </c>
      <c r="B127" s="8"/>
      <c r="C127" s="8"/>
      <c r="D127" s="8"/>
      <c r="E127" s="21"/>
      <c r="F127" s="8"/>
      <c r="G127" s="8"/>
      <c r="H127" s="9"/>
      <c r="I127" s="9"/>
      <c r="J127" s="9"/>
      <c r="K127" s="10"/>
      <c r="L127" s="10"/>
      <c r="M127" s="9"/>
      <c r="N127" s="9"/>
      <c r="O127" s="9"/>
      <c r="P127"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27" s="9"/>
      <c r="R127" s="9"/>
      <c r="S127" s="38"/>
      <c r="T127" s="38"/>
      <c r="U127" s="38"/>
      <c r="V127" s="38"/>
      <c r="W127" s="38"/>
      <c r="X127" s="67" t="str">
        <f>IF(COUNTA(SalCommune[[#This Row],[N°]:[heures annuelles
selon contrat(s)]])=0,"",SalCommune[[#This Row],[Brut]]+SalCommune[[#This Row],[Autres Primes]]+SalCommune[[#This Row],[Part patronale]]-ABS(SalCommune[[#This Row],[Remboursement Mutualité]])-ABS(SalCommune[[#This Row],[Remboursement
Autres]]))</f>
        <v/>
      </c>
      <c r="Y127" s="38"/>
      <c r="Z127"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27" s="8"/>
      <c r="AB127" s="64"/>
      <c r="AC127"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27"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27" s="505"/>
      <c r="AF127" s="187"/>
      <c r="AG127" s="200" t="str">
        <f>IF(COUNTA(SalCommune[[#This Row],[N°]:[heures annuelles
selon contrat(s)]])=0,"",REVEX!$E$9)</f>
        <v/>
      </c>
      <c r="AH127" s="73" t="str">
        <f>IF(SalCommune[[#This Row],[Allocations fonctions]]="","",IF(ISNA(VLOOKUP(SalCommune[[#This Row],[Allocations fonctions]],DROPDOWN[Dropdown82],1,FALSE))=TRUE,"&lt;-- Veuillez choisir l'allocation parmis la liste déroulante.",""))</f>
        <v/>
      </c>
    </row>
    <row r="128" spans="1:34" x14ac:dyDescent="0.25">
      <c r="A128" s="73" t="str">
        <f>IF(SalCommune[[#This Row],[Statut]]="","",IF(ISNA(VLOOKUP(SalCommune[[#This Row],[Statut]],'Grille communale'!$B$3:$B$5,1,FALSE))=TRUE,"Veuillez choisir le statut parmis la liste déroulante",""))</f>
        <v/>
      </c>
      <c r="B128" s="8"/>
      <c r="C128" s="8"/>
      <c r="D128" s="8"/>
      <c r="E128" s="21"/>
      <c r="F128" s="8"/>
      <c r="G128" s="8"/>
      <c r="H128" s="9"/>
      <c r="I128" s="9"/>
      <c r="J128" s="9"/>
      <c r="K128" s="10"/>
      <c r="L128" s="10"/>
      <c r="M128" s="9"/>
      <c r="N128" s="9"/>
      <c r="O128" s="9"/>
      <c r="P128"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28" s="9"/>
      <c r="R128" s="9"/>
      <c r="S128" s="38"/>
      <c r="T128" s="38"/>
      <c r="U128" s="38"/>
      <c r="V128" s="38"/>
      <c r="W128" s="38"/>
      <c r="X128" s="67" t="str">
        <f>IF(COUNTA(SalCommune[[#This Row],[N°]:[heures annuelles
selon contrat(s)]])=0,"",SalCommune[[#This Row],[Brut]]+SalCommune[[#This Row],[Autres Primes]]+SalCommune[[#This Row],[Part patronale]]-ABS(SalCommune[[#This Row],[Remboursement Mutualité]])-ABS(SalCommune[[#This Row],[Remboursement
Autres]]))</f>
        <v/>
      </c>
      <c r="Y128" s="38"/>
      <c r="Z128"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28" s="8"/>
      <c r="AB128" s="64"/>
      <c r="AC128"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28"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28" s="505"/>
      <c r="AF128" s="187"/>
      <c r="AG128" s="200" t="str">
        <f>IF(COUNTA(SalCommune[[#This Row],[N°]:[heures annuelles
selon contrat(s)]])=0,"",REVEX!$E$9)</f>
        <v/>
      </c>
      <c r="AH128" s="73" t="str">
        <f>IF(SalCommune[[#This Row],[Allocations fonctions]]="","",IF(ISNA(VLOOKUP(SalCommune[[#This Row],[Allocations fonctions]],DROPDOWN[Dropdown82],1,FALSE))=TRUE,"&lt;-- Veuillez choisir l'allocation parmis la liste déroulante.",""))</f>
        <v/>
      </c>
    </row>
    <row r="129" spans="1:34" x14ac:dyDescent="0.25">
      <c r="A129" s="73" t="str">
        <f>IF(SalCommune[[#This Row],[Statut]]="","",IF(ISNA(VLOOKUP(SalCommune[[#This Row],[Statut]],'Grille communale'!$B$3:$B$5,1,FALSE))=TRUE,"Veuillez choisir le statut parmis la liste déroulante",""))</f>
        <v/>
      </c>
      <c r="B129" s="8"/>
      <c r="C129" s="8"/>
      <c r="D129" s="8"/>
      <c r="E129" s="21"/>
      <c r="F129" s="8"/>
      <c r="G129" s="8"/>
      <c r="H129" s="9"/>
      <c r="I129" s="9"/>
      <c r="J129" s="9"/>
      <c r="K129" s="10"/>
      <c r="L129" s="10"/>
      <c r="M129" s="9"/>
      <c r="N129" s="9"/>
      <c r="O129" s="9"/>
      <c r="P129"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29" s="9"/>
      <c r="R129" s="9"/>
      <c r="S129" s="38"/>
      <c r="T129" s="38"/>
      <c r="U129" s="38"/>
      <c r="V129" s="38"/>
      <c r="W129" s="38"/>
      <c r="X129" s="67" t="str">
        <f>IF(COUNTA(SalCommune[[#This Row],[N°]:[heures annuelles
selon contrat(s)]])=0,"",SalCommune[[#This Row],[Brut]]+SalCommune[[#This Row],[Autres Primes]]+SalCommune[[#This Row],[Part patronale]]-ABS(SalCommune[[#This Row],[Remboursement Mutualité]])-ABS(SalCommune[[#This Row],[Remboursement
Autres]]))</f>
        <v/>
      </c>
      <c r="Y129" s="38"/>
      <c r="Z129"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29" s="8"/>
      <c r="AB129" s="64"/>
      <c r="AC129"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29"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29" s="505"/>
      <c r="AF129" s="187"/>
      <c r="AG129" s="200" t="str">
        <f>IF(COUNTA(SalCommune[[#This Row],[N°]:[heures annuelles
selon contrat(s)]])=0,"",REVEX!$E$9)</f>
        <v/>
      </c>
      <c r="AH129" s="73" t="str">
        <f>IF(SalCommune[[#This Row],[Allocations fonctions]]="","",IF(ISNA(VLOOKUP(SalCommune[[#This Row],[Allocations fonctions]],DROPDOWN[Dropdown82],1,FALSE))=TRUE,"&lt;-- Veuillez choisir l'allocation parmis la liste déroulante.",""))</f>
        <v/>
      </c>
    </row>
    <row r="130" spans="1:34" x14ac:dyDescent="0.25">
      <c r="A130" s="73" t="str">
        <f>IF(SalCommune[[#This Row],[Statut]]="","",IF(ISNA(VLOOKUP(SalCommune[[#This Row],[Statut]],'Grille communale'!$B$3:$B$5,1,FALSE))=TRUE,"Veuillez choisir le statut parmis la liste déroulante",""))</f>
        <v/>
      </c>
      <c r="B130" s="8"/>
      <c r="C130" s="8"/>
      <c r="D130" s="8"/>
      <c r="E130" s="21"/>
      <c r="F130" s="8"/>
      <c r="G130" s="8"/>
      <c r="H130" s="9"/>
      <c r="I130" s="9"/>
      <c r="J130" s="9"/>
      <c r="K130" s="10"/>
      <c r="L130" s="10"/>
      <c r="M130" s="9"/>
      <c r="N130" s="9"/>
      <c r="O130" s="9"/>
      <c r="P130"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30" s="9"/>
      <c r="R130" s="9"/>
      <c r="S130" s="38"/>
      <c r="T130" s="38"/>
      <c r="U130" s="38"/>
      <c r="V130" s="38"/>
      <c r="W130" s="38"/>
      <c r="X130" s="67" t="str">
        <f>IF(COUNTA(SalCommune[[#This Row],[N°]:[heures annuelles
selon contrat(s)]])=0,"",SalCommune[[#This Row],[Brut]]+SalCommune[[#This Row],[Autres Primes]]+SalCommune[[#This Row],[Part patronale]]-ABS(SalCommune[[#This Row],[Remboursement Mutualité]])-ABS(SalCommune[[#This Row],[Remboursement
Autres]]))</f>
        <v/>
      </c>
      <c r="Y130" s="38"/>
      <c r="Z130"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30" s="8"/>
      <c r="AB130" s="64"/>
      <c r="AC130"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30"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30" s="505"/>
      <c r="AF130" s="187"/>
      <c r="AG130" s="200" t="str">
        <f>IF(COUNTA(SalCommune[[#This Row],[N°]:[heures annuelles
selon contrat(s)]])=0,"",REVEX!$E$9)</f>
        <v/>
      </c>
      <c r="AH130" s="73" t="str">
        <f>IF(SalCommune[[#This Row],[Allocations fonctions]]="","",IF(ISNA(VLOOKUP(SalCommune[[#This Row],[Allocations fonctions]],DROPDOWN[Dropdown82],1,FALSE))=TRUE,"&lt;-- Veuillez choisir l'allocation parmis la liste déroulante.",""))</f>
        <v/>
      </c>
    </row>
    <row r="131" spans="1:34" x14ac:dyDescent="0.25">
      <c r="A131" s="73" t="str">
        <f>IF(SalCommune[[#This Row],[Statut]]="","",IF(ISNA(VLOOKUP(SalCommune[[#This Row],[Statut]],'Grille communale'!$B$3:$B$5,1,FALSE))=TRUE,"Veuillez choisir le statut parmis la liste déroulante",""))</f>
        <v/>
      </c>
      <c r="B131" s="8"/>
      <c r="C131" s="8"/>
      <c r="D131" s="8"/>
      <c r="E131" s="21"/>
      <c r="F131" s="8"/>
      <c r="G131" s="8"/>
      <c r="H131" s="9"/>
      <c r="I131" s="9"/>
      <c r="J131" s="9"/>
      <c r="K131" s="10"/>
      <c r="L131" s="10"/>
      <c r="M131" s="9"/>
      <c r="N131" s="9"/>
      <c r="O131" s="9"/>
      <c r="P131"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31" s="9"/>
      <c r="R131" s="9"/>
      <c r="S131" s="38"/>
      <c r="T131" s="38"/>
      <c r="U131" s="38"/>
      <c r="V131" s="38"/>
      <c r="W131" s="38"/>
      <c r="X131" s="67" t="str">
        <f>IF(COUNTA(SalCommune[[#This Row],[N°]:[heures annuelles
selon contrat(s)]])=0,"",SalCommune[[#This Row],[Brut]]+SalCommune[[#This Row],[Autres Primes]]+SalCommune[[#This Row],[Part patronale]]-ABS(SalCommune[[#This Row],[Remboursement Mutualité]])-ABS(SalCommune[[#This Row],[Remboursement
Autres]]))</f>
        <v/>
      </c>
      <c r="Y131" s="38"/>
      <c r="Z131"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31" s="8"/>
      <c r="AB131" s="64"/>
      <c r="AC131"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31"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31" s="505"/>
      <c r="AF131" s="187"/>
      <c r="AG131" s="200" t="str">
        <f>IF(COUNTA(SalCommune[[#This Row],[N°]:[heures annuelles
selon contrat(s)]])=0,"",REVEX!$E$9)</f>
        <v/>
      </c>
      <c r="AH131" s="73" t="str">
        <f>IF(SalCommune[[#This Row],[Allocations fonctions]]="","",IF(ISNA(VLOOKUP(SalCommune[[#This Row],[Allocations fonctions]],DROPDOWN[Dropdown82],1,FALSE))=TRUE,"&lt;-- Veuillez choisir l'allocation parmis la liste déroulante.",""))</f>
        <v/>
      </c>
    </row>
    <row r="132" spans="1:34" x14ac:dyDescent="0.25">
      <c r="A132" s="73" t="str">
        <f>IF(SalCommune[[#This Row],[Statut]]="","",IF(ISNA(VLOOKUP(SalCommune[[#This Row],[Statut]],'Grille communale'!$B$3:$B$5,1,FALSE))=TRUE,"Veuillez choisir le statut parmis la liste déroulante",""))</f>
        <v/>
      </c>
      <c r="B132" s="8"/>
      <c r="C132" s="8"/>
      <c r="D132" s="8"/>
      <c r="E132" s="21"/>
      <c r="F132" s="8"/>
      <c r="G132" s="8"/>
      <c r="H132" s="9"/>
      <c r="I132" s="9"/>
      <c r="J132" s="9"/>
      <c r="K132" s="10"/>
      <c r="L132" s="10"/>
      <c r="M132" s="9"/>
      <c r="N132" s="9"/>
      <c r="O132" s="9"/>
      <c r="P132"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32" s="9"/>
      <c r="R132" s="9"/>
      <c r="S132" s="38"/>
      <c r="T132" s="38"/>
      <c r="U132" s="38"/>
      <c r="V132" s="38"/>
      <c r="W132" s="38"/>
      <c r="X132" s="67" t="str">
        <f>IF(COUNTA(SalCommune[[#This Row],[N°]:[heures annuelles
selon contrat(s)]])=0,"",SalCommune[[#This Row],[Brut]]+SalCommune[[#This Row],[Autres Primes]]+SalCommune[[#This Row],[Part patronale]]-ABS(SalCommune[[#This Row],[Remboursement Mutualité]])-ABS(SalCommune[[#This Row],[Remboursement
Autres]]))</f>
        <v/>
      </c>
      <c r="Y132" s="38"/>
      <c r="Z132"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32" s="8"/>
      <c r="AB132" s="64"/>
      <c r="AC132"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32"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32" s="505"/>
      <c r="AF132" s="187"/>
      <c r="AG132" s="200" t="str">
        <f>IF(COUNTA(SalCommune[[#This Row],[N°]:[heures annuelles
selon contrat(s)]])=0,"",REVEX!$E$9)</f>
        <v/>
      </c>
      <c r="AH132" s="73" t="str">
        <f>IF(SalCommune[[#This Row],[Allocations fonctions]]="","",IF(ISNA(VLOOKUP(SalCommune[[#This Row],[Allocations fonctions]],DROPDOWN[Dropdown82],1,FALSE))=TRUE,"&lt;-- Veuillez choisir l'allocation parmis la liste déroulante.",""))</f>
        <v/>
      </c>
    </row>
    <row r="133" spans="1:34" x14ac:dyDescent="0.25">
      <c r="A133" s="73" t="str">
        <f>IF(SalCommune[[#This Row],[Statut]]="","",IF(ISNA(VLOOKUP(SalCommune[[#This Row],[Statut]],'Grille communale'!$B$3:$B$5,1,FALSE))=TRUE,"Veuillez choisir le statut parmis la liste déroulante",""))</f>
        <v/>
      </c>
      <c r="B133" s="8"/>
      <c r="C133" s="8"/>
      <c r="D133" s="8"/>
      <c r="E133" s="21"/>
      <c r="F133" s="8"/>
      <c r="G133" s="8"/>
      <c r="H133" s="9"/>
      <c r="I133" s="9"/>
      <c r="J133" s="9"/>
      <c r="K133" s="10"/>
      <c r="L133" s="10"/>
      <c r="M133" s="9"/>
      <c r="N133" s="9"/>
      <c r="O133" s="9"/>
      <c r="P133"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33" s="9"/>
      <c r="R133" s="9"/>
      <c r="S133" s="38"/>
      <c r="T133" s="38"/>
      <c r="U133" s="38"/>
      <c r="V133" s="38"/>
      <c r="W133" s="38"/>
      <c r="X133" s="67" t="str">
        <f>IF(COUNTA(SalCommune[[#This Row],[N°]:[heures annuelles
selon contrat(s)]])=0,"",SalCommune[[#This Row],[Brut]]+SalCommune[[#This Row],[Autres Primes]]+SalCommune[[#This Row],[Part patronale]]-ABS(SalCommune[[#This Row],[Remboursement Mutualité]])-ABS(SalCommune[[#This Row],[Remboursement
Autres]]))</f>
        <v/>
      </c>
      <c r="Y133" s="38"/>
      <c r="Z133"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33" s="8"/>
      <c r="AB133" s="64"/>
      <c r="AC133"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33"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33" s="505"/>
      <c r="AF133" s="187"/>
      <c r="AG133" s="200" t="str">
        <f>IF(COUNTA(SalCommune[[#This Row],[N°]:[heures annuelles
selon contrat(s)]])=0,"",REVEX!$E$9)</f>
        <v/>
      </c>
      <c r="AH133" s="73" t="str">
        <f>IF(SalCommune[[#This Row],[Allocations fonctions]]="","",IF(ISNA(VLOOKUP(SalCommune[[#This Row],[Allocations fonctions]],DROPDOWN[Dropdown82],1,FALSE))=TRUE,"&lt;-- Veuillez choisir l'allocation parmis la liste déroulante.",""))</f>
        <v/>
      </c>
    </row>
    <row r="134" spans="1:34" x14ac:dyDescent="0.25">
      <c r="A134" s="73" t="str">
        <f>IF(SalCommune[[#This Row],[Statut]]="","",IF(ISNA(VLOOKUP(SalCommune[[#This Row],[Statut]],'Grille communale'!$B$3:$B$5,1,FALSE))=TRUE,"Veuillez choisir le statut parmis la liste déroulante",""))</f>
        <v/>
      </c>
      <c r="B134" s="8"/>
      <c r="C134" s="8"/>
      <c r="D134" s="8"/>
      <c r="E134" s="21"/>
      <c r="F134" s="8"/>
      <c r="G134" s="8"/>
      <c r="H134" s="9"/>
      <c r="I134" s="9"/>
      <c r="J134" s="9"/>
      <c r="K134" s="10"/>
      <c r="L134" s="10"/>
      <c r="M134" s="9"/>
      <c r="N134" s="9"/>
      <c r="O134" s="9"/>
      <c r="P134"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34" s="9"/>
      <c r="R134" s="9"/>
      <c r="S134" s="38"/>
      <c r="T134" s="38"/>
      <c r="U134" s="38"/>
      <c r="V134" s="38"/>
      <c r="W134" s="38"/>
      <c r="X134" s="67" t="str">
        <f>IF(COUNTA(SalCommune[[#This Row],[N°]:[heures annuelles
selon contrat(s)]])=0,"",SalCommune[[#This Row],[Brut]]+SalCommune[[#This Row],[Autres Primes]]+SalCommune[[#This Row],[Part patronale]]-ABS(SalCommune[[#This Row],[Remboursement Mutualité]])-ABS(SalCommune[[#This Row],[Remboursement
Autres]]))</f>
        <v/>
      </c>
      <c r="Y134" s="38"/>
      <c r="Z134"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34" s="8"/>
      <c r="AB134" s="64"/>
      <c r="AC134"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34"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34" s="505"/>
      <c r="AF134" s="187"/>
      <c r="AG134" s="200" t="str">
        <f>IF(COUNTA(SalCommune[[#This Row],[N°]:[heures annuelles
selon contrat(s)]])=0,"",REVEX!$E$9)</f>
        <v/>
      </c>
      <c r="AH134" s="73" t="str">
        <f>IF(SalCommune[[#This Row],[Allocations fonctions]]="","",IF(ISNA(VLOOKUP(SalCommune[[#This Row],[Allocations fonctions]],DROPDOWN[Dropdown82],1,FALSE))=TRUE,"&lt;-- Veuillez choisir l'allocation parmis la liste déroulante.",""))</f>
        <v/>
      </c>
    </row>
    <row r="135" spans="1:34" x14ac:dyDescent="0.25">
      <c r="A135" s="73" t="str">
        <f>IF(SalCommune[[#This Row],[Statut]]="","",IF(ISNA(VLOOKUP(SalCommune[[#This Row],[Statut]],'Grille communale'!$B$3:$B$5,1,FALSE))=TRUE,"Veuillez choisir le statut parmis la liste déroulante",""))</f>
        <v/>
      </c>
      <c r="B135" s="8"/>
      <c r="C135" s="8"/>
      <c r="D135" s="8"/>
      <c r="E135" s="21"/>
      <c r="F135" s="8"/>
      <c r="G135" s="8"/>
      <c r="H135" s="9"/>
      <c r="I135" s="9"/>
      <c r="J135" s="9"/>
      <c r="K135" s="10"/>
      <c r="L135" s="10"/>
      <c r="M135" s="9"/>
      <c r="N135" s="9"/>
      <c r="O135" s="9"/>
      <c r="P135"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35" s="9"/>
      <c r="R135" s="9"/>
      <c r="S135" s="38"/>
      <c r="T135" s="38"/>
      <c r="U135" s="38"/>
      <c r="V135" s="38"/>
      <c r="W135" s="38"/>
      <c r="X135" s="67" t="str">
        <f>IF(COUNTA(SalCommune[[#This Row],[N°]:[heures annuelles
selon contrat(s)]])=0,"",SalCommune[[#This Row],[Brut]]+SalCommune[[#This Row],[Autres Primes]]+SalCommune[[#This Row],[Part patronale]]-ABS(SalCommune[[#This Row],[Remboursement Mutualité]])-ABS(SalCommune[[#This Row],[Remboursement
Autres]]))</f>
        <v/>
      </c>
      <c r="Y135" s="38"/>
      <c r="Z135"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35" s="8"/>
      <c r="AB135" s="64"/>
      <c r="AC135"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35"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35" s="505"/>
      <c r="AF135" s="187"/>
      <c r="AG135" s="200" t="str">
        <f>IF(COUNTA(SalCommune[[#This Row],[N°]:[heures annuelles
selon contrat(s)]])=0,"",REVEX!$E$9)</f>
        <v/>
      </c>
      <c r="AH135" s="73" t="str">
        <f>IF(SalCommune[[#This Row],[Allocations fonctions]]="","",IF(ISNA(VLOOKUP(SalCommune[[#This Row],[Allocations fonctions]],DROPDOWN[Dropdown82],1,FALSE))=TRUE,"&lt;-- Veuillez choisir l'allocation parmis la liste déroulante.",""))</f>
        <v/>
      </c>
    </row>
    <row r="136" spans="1:34" x14ac:dyDescent="0.25">
      <c r="A136" s="73" t="str">
        <f>IF(SalCommune[[#This Row],[Statut]]="","",IF(ISNA(VLOOKUP(SalCommune[[#This Row],[Statut]],'Grille communale'!$B$3:$B$5,1,FALSE))=TRUE,"Veuillez choisir le statut parmis la liste déroulante",""))</f>
        <v/>
      </c>
      <c r="B136" s="8"/>
      <c r="C136" s="8"/>
      <c r="D136" s="8"/>
      <c r="E136" s="21"/>
      <c r="F136" s="8"/>
      <c r="G136" s="8"/>
      <c r="H136" s="9"/>
      <c r="I136" s="9"/>
      <c r="J136" s="9"/>
      <c r="K136" s="10"/>
      <c r="L136" s="10"/>
      <c r="M136" s="9"/>
      <c r="N136" s="9"/>
      <c r="O136" s="9"/>
      <c r="P136"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36" s="9"/>
      <c r="R136" s="9"/>
      <c r="S136" s="38"/>
      <c r="T136" s="38"/>
      <c r="U136" s="38"/>
      <c r="V136" s="38"/>
      <c r="W136" s="38"/>
      <c r="X136" s="67" t="str">
        <f>IF(COUNTA(SalCommune[[#This Row],[N°]:[heures annuelles
selon contrat(s)]])=0,"",SalCommune[[#This Row],[Brut]]+SalCommune[[#This Row],[Autres Primes]]+SalCommune[[#This Row],[Part patronale]]-ABS(SalCommune[[#This Row],[Remboursement Mutualité]])-ABS(SalCommune[[#This Row],[Remboursement
Autres]]))</f>
        <v/>
      </c>
      <c r="Y136" s="38"/>
      <c r="Z136"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36" s="8"/>
      <c r="AB136" s="64"/>
      <c r="AC136"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36"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36" s="505"/>
      <c r="AF136" s="187"/>
      <c r="AG136" s="200" t="str">
        <f>IF(COUNTA(SalCommune[[#This Row],[N°]:[heures annuelles
selon contrat(s)]])=0,"",REVEX!$E$9)</f>
        <v/>
      </c>
      <c r="AH136" s="73" t="str">
        <f>IF(SalCommune[[#This Row],[Allocations fonctions]]="","",IF(ISNA(VLOOKUP(SalCommune[[#This Row],[Allocations fonctions]],DROPDOWN[Dropdown82],1,FALSE))=TRUE,"&lt;-- Veuillez choisir l'allocation parmis la liste déroulante.",""))</f>
        <v/>
      </c>
    </row>
    <row r="137" spans="1:34" x14ac:dyDescent="0.25">
      <c r="A137" s="73" t="str">
        <f>IF(SalCommune[[#This Row],[Statut]]="","",IF(ISNA(VLOOKUP(SalCommune[[#This Row],[Statut]],'Grille communale'!$B$3:$B$5,1,FALSE))=TRUE,"Veuillez choisir le statut parmis la liste déroulante",""))</f>
        <v/>
      </c>
      <c r="B137" s="8"/>
      <c r="C137" s="8"/>
      <c r="D137" s="8"/>
      <c r="E137" s="21"/>
      <c r="F137" s="8"/>
      <c r="G137" s="8"/>
      <c r="H137" s="9"/>
      <c r="I137" s="9"/>
      <c r="J137" s="9"/>
      <c r="K137" s="10"/>
      <c r="L137" s="10"/>
      <c r="M137" s="9"/>
      <c r="N137" s="9"/>
      <c r="O137" s="9"/>
      <c r="P137"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37" s="9"/>
      <c r="R137" s="9"/>
      <c r="S137" s="38"/>
      <c r="T137" s="38"/>
      <c r="U137" s="38"/>
      <c r="V137" s="38"/>
      <c r="W137" s="38"/>
      <c r="X137" s="67" t="str">
        <f>IF(COUNTA(SalCommune[[#This Row],[N°]:[heures annuelles
selon contrat(s)]])=0,"",SalCommune[[#This Row],[Brut]]+SalCommune[[#This Row],[Autres Primes]]+SalCommune[[#This Row],[Part patronale]]-ABS(SalCommune[[#This Row],[Remboursement Mutualité]])-ABS(SalCommune[[#This Row],[Remboursement
Autres]]))</f>
        <v/>
      </c>
      <c r="Y137" s="38"/>
      <c r="Z137"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37" s="8"/>
      <c r="AB137" s="64"/>
      <c r="AC137"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37"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37" s="505"/>
      <c r="AF137" s="187"/>
      <c r="AG137" s="200" t="str">
        <f>IF(COUNTA(SalCommune[[#This Row],[N°]:[heures annuelles
selon contrat(s)]])=0,"",REVEX!$E$9)</f>
        <v/>
      </c>
      <c r="AH137" s="73" t="str">
        <f>IF(SalCommune[[#This Row],[Allocations fonctions]]="","",IF(ISNA(VLOOKUP(SalCommune[[#This Row],[Allocations fonctions]],DROPDOWN[Dropdown82],1,FALSE))=TRUE,"&lt;-- Veuillez choisir l'allocation parmis la liste déroulante.",""))</f>
        <v/>
      </c>
    </row>
    <row r="138" spans="1:34" x14ac:dyDescent="0.25">
      <c r="A138" s="73" t="str">
        <f>IF(SalCommune[[#This Row],[Statut]]="","",IF(ISNA(VLOOKUP(SalCommune[[#This Row],[Statut]],'Grille communale'!$B$3:$B$5,1,FALSE))=TRUE,"Veuillez choisir le statut parmis la liste déroulante",""))</f>
        <v/>
      </c>
      <c r="B138" s="8"/>
      <c r="C138" s="8"/>
      <c r="D138" s="8"/>
      <c r="E138" s="21"/>
      <c r="F138" s="8"/>
      <c r="G138" s="8"/>
      <c r="H138" s="9"/>
      <c r="I138" s="9"/>
      <c r="J138" s="9"/>
      <c r="K138" s="10"/>
      <c r="L138" s="10"/>
      <c r="M138" s="9"/>
      <c r="N138" s="9"/>
      <c r="O138" s="9"/>
      <c r="P138"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38" s="9"/>
      <c r="R138" s="9"/>
      <c r="S138" s="38"/>
      <c r="T138" s="38"/>
      <c r="U138" s="38"/>
      <c r="V138" s="38"/>
      <c r="W138" s="38"/>
      <c r="X138" s="67" t="str">
        <f>IF(COUNTA(SalCommune[[#This Row],[N°]:[heures annuelles
selon contrat(s)]])=0,"",SalCommune[[#This Row],[Brut]]+SalCommune[[#This Row],[Autres Primes]]+SalCommune[[#This Row],[Part patronale]]-ABS(SalCommune[[#This Row],[Remboursement Mutualité]])-ABS(SalCommune[[#This Row],[Remboursement
Autres]]))</f>
        <v/>
      </c>
      <c r="Y138" s="38"/>
      <c r="Z138"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38" s="8"/>
      <c r="AB138" s="64"/>
      <c r="AC138"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38"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38" s="505"/>
      <c r="AF138" s="187"/>
      <c r="AG138" s="200" t="str">
        <f>IF(COUNTA(SalCommune[[#This Row],[N°]:[heures annuelles
selon contrat(s)]])=0,"",REVEX!$E$9)</f>
        <v/>
      </c>
      <c r="AH138" s="73" t="str">
        <f>IF(SalCommune[[#This Row],[Allocations fonctions]]="","",IF(ISNA(VLOOKUP(SalCommune[[#This Row],[Allocations fonctions]],DROPDOWN[Dropdown82],1,FALSE))=TRUE,"&lt;-- Veuillez choisir l'allocation parmis la liste déroulante.",""))</f>
        <v/>
      </c>
    </row>
    <row r="139" spans="1:34" x14ac:dyDescent="0.25">
      <c r="A139" s="73" t="str">
        <f>IF(SalCommune[[#This Row],[Statut]]="","",IF(ISNA(VLOOKUP(SalCommune[[#This Row],[Statut]],'Grille communale'!$B$3:$B$5,1,FALSE))=TRUE,"Veuillez choisir le statut parmis la liste déroulante",""))</f>
        <v/>
      </c>
      <c r="B139" s="8"/>
      <c r="C139" s="8"/>
      <c r="D139" s="8"/>
      <c r="E139" s="21"/>
      <c r="F139" s="8"/>
      <c r="G139" s="8"/>
      <c r="H139" s="9"/>
      <c r="I139" s="9"/>
      <c r="J139" s="9"/>
      <c r="K139" s="10"/>
      <c r="L139" s="10"/>
      <c r="M139" s="9"/>
      <c r="N139" s="9"/>
      <c r="O139" s="9"/>
      <c r="P139"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39" s="9"/>
      <c r="R139" s="9"/>
      <c r="S139" s="38"/>
      <c r="T139" s="38"/>
      <c r="U139" s="38"/>
      <c r="V139" s="38"/>
      <c r="W139" s="38"/>
      <c r="X139" s="67" t="str">
        <f>IF(COUNTA(SalCommune[[#This Row],[N°]:[heures annuelles
selon contrat(s)]])=0,"",SalCommune[[#This Row],[Brut]]+SalCommune[[#This Row],[Autres Primes]]+SalCommune[[#This Row],[Part patronale]]-ABS(SalCommune[[#This Row],[Remboursement Mutualité]])-ABS(SalCommune[[#This Row],[Remboursement
Autres]]))</f>
        <v/>
      </c>
      <c r="Y139" s="38"/>
      <c r="Z139"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39" s="8"/>
      <c r="AB139" s="64"/>
      <c r="AC139"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39"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39" s="505"/>
      <c r="AF139" s="187"/>
      <c r="AG139" s="200" t="str">
        <f>IF(COUNTA(SalCommune[[#This Row],[N°]:[heures annuelles
selon contrat(s)]])=0,"",REVEX!$E$9)</f>
        <v/>
      </c>
      <c r="AH139" s="73" t="str">
        <f>IF(SalCommune[[#This Row],[Allocations fonctions]]="","",IF(ISNA(VLOOKUP(SalCommune[[#This Row],[Allocations fonctions]],DROPDOWN[Dropdown82],1,FALSE))=TRUE,"&lt;-- Veuillez choisir l'allocation parmis la liste déroulante.",""))</f>
        <v/>
      </c>
    </row>
    <row r="140" spans="1:34" x14ac:dyDescent="0.25">
      <c r="A140" s="73" t="str">
        <f>IF(SalCommune[[#This Row],[Statut]]="","",IF(ISNA(VLOOKUP(SalCommune[[#This Row],[Statut]],'Grille communale'!$B$3:$B$5,1,FALSE))=TRUE,"Veuillez choisir le statut parmis la liste déroulante",""))</f>
        <v/>
      </c>
      <c r="B140" s="8"/>
      <c r="C140" s="8"/>
      <c r="D140" s="8"/>
      <c r="E140" s="21"/>
      <c r="F140" s="8"/>
      <c r="G140" s="8"/>
      <c r="H140" s="9"/>
      <c r="I140" s="9"/>
      <c r="J140" s="9"/>
      <c r="K140" s="10"/>
      <c r="L140" s="10"/>
      <c r="M140" s="9"/>
      <c r="N140" s="9"/>
      <c r="O140" s="9"/>
      <c r="P140"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40" s="9"/>
      <c r="R140" s="9"/>
      <c r="S140" s="38"/>
      <c r="T140" s="38"/>
      <c r="U140" s="38"/>
      <c r="V140" s="38"/>
      <c r="W140" s="38"/>
      <c r="X140" s="67" t="str">
        <f>IF(COUNTA(SalCommune[[#This Row],[N°]:[heures annuelles
selon contrat(s)]])=0,"",SalCommune[[#This Row],[Brut]]+SalCommune[[#This Row],[Autres Primes]]+SalCommune[[#This Row],[Part patronale]]-ABS(SalCommune[[#This Row],[Remboursement Mutualité]])-ABS(SalCommune[[#This Row],[Remboursement
Autres]]))</f>
        <v/>
      </c>
      <c r="Y140" s="38"/>
      <c r="Z140"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40" s="8"/>
      <c r="AB140" s="64"/>
      <c r="AC140"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40"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40" s="505"/>
      <c r="AF140" s="187"/>
      <c r="AG140" s="200" t="str">
        <f>IF(COUNTA(SalCommune[[#This Row],[N°]:[heures annuelles
selon contrat(s)]])=0,"",REVEX!$E$9)</f>
        <v/>
      </c>
      <c r="AH140" s="73" t="str">
        <f>IF(SalCommune[[#This Row],[Allocations fonctions]]="","",IF(ISNA(VLOOKUP(SalCommune[[#This Row],[Allocations fonctions]],DROPDOWN[Dropdown82],1,FALSE))=TRUE,"&lt;-- Veuillez choisir l'allocation parmis la liste déroulante.",""))</f>
        <v/>
      </c>
    </row>
    <row r="141" spans="1:34" x14ac:dyDescent="0.25">
      <c r="A141" s="73" t="str">
        <f>IF(SalCommune[[#This Row],[Statut]]="","",IF(ISNA(VLOOKUP(SalCommune[[#This Row],[Statut]],'Grille communale'!$B$3:$B$5,1,FALSE))=TRUE,"Veuillez choisir le statut parmis la liste déroulante",""))</f>
        <v/>
      </c>
      <c r="B141" s="8"/>
      <c r="C141" s="8"/>
      <c r="D141" s="8"/>
      <c r="E141" s="21"/>
      <c r="F141" s="8"/>
      <c r="G141" s="8"/>
      <c r="H141" s="9"/>
      <c r="I141" s="9"/>
      <c r="J141" s="9"/>
      <c r="K141" s="10"/>
      <c r="L141" s="10"/>
      <c r="M141" s="9"/>
      <c r="N141" s="9"/>
      <c r="O141" s="9"/>
      <c r="P141"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41" s="9"/>
      <c r="R141" s="9"/>
      <c r="S141" s="38"/>
      <c r="T141" s="38"/>
      <c r="U141" s="38"/>
      <c r="V141" s="38"/>
      <c r="W141" s="38"/>
      <c r="X141" s="67" t="str">
        <f>IF(COUNTA(SalCommune[[#This Row],[N°]:[heures annuelles
selon contrat(s)]])=0,"",SalCommune[[#This Row],[Brut]]+SalCommune[[#This Row],[Autres Primes]]+SalCommune[[#This Row],[Part patronale]]-ABS(SalCommune[[#This Row],[Remboursement Mutualité]])-ABS(SalCommune[[#This Row],[Remboursement
Autres]]))</f>
        <v/>
      </c>
      <c r="Y141" s="38"/>
      <c r="Z141"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41" s="8"/>
      <c r="AB141" s="64"/>
      <c r="AC141"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41"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41" s="505"/>
      <c r="AF141" s="187"/>
      <c r="AG141" s="200" t="str">
        <f>IF(COUNTA(SalCommune[[#This Row],[N°]:[heures annuelles
selon contrat(s)]])=0,"",REVEX!$E$9)</f>
        <v/>
      </c>
      <c r="AH141" s="73" t="str">
        <f>IF(SalCommune[[#This Row],[Allocations fonctions]]="","",IF(ISNA(VLOOKUP(SalCommune[[#This Row],[Allocations fonctions]],DROPDOWN[Dropdown82],1,FALSE))=TRUE,"&lt;-- Veuillez choisir l'allocation parmis la liste déroulante.",""))</f>
        <v/>
      </c>
    </row>
    <row r="142" spans="1:34" x14ac:dyDescent="0.25">
      <c r="A142" s="73" t="str">
        <f>IF(SalCommune[[#This Row],[Statut]]="","",IF(ISNA(VLOOKUP(SalCommune[[#This Row],[Statut]],'Grille communale'!$B$3:$B$5,1,FALSE))=TRUE,"Veuillez choisir le statut parmis la liste déroulante",""))</f>
        <v/>
      </c>
      <c r="B142" s="8"/>
      <c r="C142" s="8"/>
      <c r="D142" s="8"/>
      <c r="E142" s="21"/>
      <c r="F142" s="8"/>
      <c r="G142" s="8"/>
      <c r="H142" s="9"/>
      <c r="I142" s="9"/>
      <c r="J142" s="9"/>
      <c r="K142" s="10"/>
      <c r="L142" s="10"/>
      <c r="M142" s="9"/>
      <c r="N142" s="9"/>
      <c r="O142" s="9"/>
      <c r="P142"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42" s="9"/>
      <c r="R142" s="9"/>
      <c r="S142" s="38"/>
      <c r="T142" s="38"/>
      <c r="U142" s="38"/>
      <c r="V142" s="38"/>
      <c r="W142" s="38"/>
      <c r="X142" s="67" t="str">
        <f>IF(COUNTA(SalCommune[[#This Row],[N°]:[heures annuelles
selon contrat(s)]])=0,"",SalCommune[[#This Row],[Brut]]+SalCommune[[#This Row],[Autres Primes]]+SalCommune[[#This Row],[Part patronale]]-ABS(SalCommune[[#This Row],[Remboursement Mutualité]])-ABS(SalCommune[[#This Row],[Remboursement
Autres]]))</f>
        <v/>
      </c>
      <c r="Y142" s="38"/>
      <c r="Z142"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42" s="8"/>
      <c r="AB142" s="64"/>
      <c r="AC142"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42"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42" s="505"/>
      <c r="AF142" s="187"/>
      <c r="AG142" s="200" t="str">
        <f>IF(COUNTA(SalCommune[[#This Row],[N°]:[heures annuelles
selon contrat(s)]])=0,"",REVEX!$E$9)</f>
        <v/>
      </c>
      <c r="AH142" s="73" t="str">
        <f>IF(SalCommune[[#This Row],[Allocations fonctions]]="","",IF(ISNA(VLOOKUP(SalCommune[[#This Row],[Allocations fonctions]],DROPDOWN[Dropdown82],1,FALSE))=TRUE,"&lt;-- Veuillez choisir l'allocation parmis la liste déroulante.",""))</f>
        <v/>
      </c>
    </row>
    <row r="143" spans="1:34" x14ac:dyDescent="0.25">
      <c r="A143" s="73" t="str">
        <f>IF(SalCommune[[#This Row],[Statut]]="","",IF(ISNA(VLOOKUP(SalCommune[[#This Row],[Statut]],'Grille communale'!$B$3:$B$5,1,FALSE))=TRUE,"Veuillez choisir le statut parmis la liste déroulante",""))</f>
        <v/>
      </c>
      <c r="B143" s="8"/>
      <c r="C143" s="8"/>
      <c r="D143" s="8"/>
      <c r="E143" s="21"/>
      <c r="F143" s="8"/>
      <c r="G143" s="8"/>
      <c r="H143" s="9"/>
      <c r="I143" s="9"/>
      <c r="J143" s="9"/>
      <c r="K143" s="10"/>
      <c r="L143" s="10"/>
      <c r="M143" s="9"/>
      <c r="N143" s="9"/>
      <c r="O143" s="9"/>
      <c r="P143"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43" s="9"/>
      <c r="R143" s="9"/>
      <c r="S143" s="38"/>
      <c r="T143" s="38"/>
      <c r="U143" s="38"/>
      <c r="V143" s="38"/>
      <c r="W143" s="38"/>
      <c r="X143" s="67" t="str">
        <f>IF(COUNTA(SalCommune[[#This Row],[N°]:[heures annuelles
selon contrat(s)]])=0,"",SalCommune[[#This Row],[Brut]]+SalCommune[[#This Row],[Autres Primes]]+SalCommune[[#This Row],[Part patronale]]-ABS(SalCommune[[#This Row],[Remboursement Mutualité]])-ABS(SalCommune[[#This Row],[Remboursement
Autres]]))</f>
        <v/>
      </c>
      <c r="Y143" s="38"/>
      <c r="Z143"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43" s="8"/>
      <c r="AB143" s="64"/>
      <c r="AC143"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43"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43" s="505"/>
      <c r="AF143" s="187"/>
      <c r="AG143" s="200" t="str">
        <f>IF(COUNTA(SalCommune[[#This Row],[N°]:[heures annuelles
selon contrat(s)]])=0,"",REVEX!$E$9)</f>
        <v/>
      </c>
      <c r="AH143" s="73" t="str">
        <f>IF(SalCommune[[#This Row],[Allocations fonctions]]="","",IF(ISNA(VLOOKUP(SalCommune[[#This Row],[Allocations fonctions]],DROPDOWN[Dropdown82],1,FALSE))=TRUE,"&lt;-- Veuillez choisir l'allocation parmis la liste déroulante.",""))</f>
        <v/>
      </c>
    </row>
    <row r="144" spans="1:34" x14ac:dyDescent="0.25">
      <c r="A144" s="73" t="str">
        <f>IF(SalCommune[[#This Row],[Statut]]="","",IF(ISNA(VLOOKUP(SalCommune[[#This Row],[Statut]],'Grille communale'!$B$3:$B$5,1,FALSE))=TRUE,"Veuillez choisir le statut parmis la liste déroulante",""))</f>
        <v/>
      </c>
      <c r="B144" s="8"/>
      <c r="C144" s="8"/>
      <c r="D144" s="8"/>
      <c r="E144" s="21"/>
      <c r="F144" s="8"/>
      <c r="G144" s="8"/>
      <c r="H144" s="9"/>
      <c r="I144" s="9"/>
      <c r="J144" s="9"/>
      <c r="K144" s="10"/>
      <c r="L144" s="10"/>
      <c r="M144" s="9"/>
      <c r="N144" s="9"/>
      <c r="O144" s="9"/>
      <c r="P144"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44" s="9"/>
      <c r="R144" s="9"/>
      <c r="S144" s="38"/>
      <c r="T144" s="38"/>
      <c r="U144" s="38"/>
      <c r="V144" s="38"/>
      <c r="W144" s="38"/>
      <c r="X144" s="67" t="str">
        <f>IF(COUNTA(SalCommune[[#This Row],[N°]:[heures annuelles
selon contrat(s)]])=0,"",SalCommune[[#This Row],[Brut]]+SalCommune[[#This Row],[Autres Primes]]+SalCommune[[#This Row],[Part patronale]]-ABS(SalCommune[[#This Row],[Remboursement Mutualité]])-ABS(SalCommune[[#This Row],[Remboursement
Autres]]))</f>
        <v/>
      </c>
      <c r="Y144" s="38"/>
      <c r="Z144"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44" s="8"/>
      <c r="AB144" s="64"/>
      <c r="AC144"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44"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44" s="505"/>
      <c r="AF144" s="187"/>
      <c r="AG144" s="200" t="str">
        <f>IF(COUNTA(SalCommune[[#This Row],[N°]:[heures annuelles
selon contrat(s)]])=0,"",REVEX!$E$9)</f>
        <v/>
      </c>
      <c r="AH144" s="73" t="str">
        <f>IF(SalCommune[[#This Row],[Allocations fonctions]]="","",IF(ISNA(VLOOKUP(SalCommune[[#This Row],[Allocations fonctions]],DROPDOWN[Dropdown82],1,FALSE))=TRUE,"&lt;-- Veuillez choisir l'allocation parmis la liste déroulante.",""))</f>
        <v/>
      </c>
    </row>
    <row r="145" spans="1:34" x14ac:dyDescent="0.25">
      <c r="A145" s="73" t="str">
        <f>IF(SalCommune[[#This Row],[Statut]]="","",IF(ISNA(VLOOKUP(SalCommune[[#This Row],[Statut]],'Grille communale'!$B$3:$B$5,1,FALSE))=TRUE,"Veuillez choisir le statut parmis la liste déroulante",""))</f>
        <v/>
      </c>
      <c r="B145" s="8"/>
      <c r="C145" s="8"/>
      <c r="D145" s="8"/>
      <c r="E145" s="21"/>
      <c r="F145" s="8"/>
      <c r="G145" s="8"/>
      <c r="H145" s="9"/>
      <c r="I145" s="9"/>
      <c r="J145" s="9"/>
      <c r="K145" s="10"/>
      <c r="L145" s="10"/>
      <c r="M145" s="9"/>
      <c r="N145" s="9"/>
      <c r="O145" s="9"/>
      <c r="P145"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45" s="9"/>
      <c r="R145" s="9"/>
      <c r="S145" s="38"/>
      <c r="T145" s="38"/>
      <c r="U145" s="38"/>
      <c r="V145" s="38"/>
      <c r="W145" s="38"/>
      <c r="X145" s="67" t="str">
        <f>IF(COUNTA(SalCommune[[#This Row],[N°]:[heures annuelles
selon contrat(s)]])=0,"",SalCommune[[#This Row],[Brut]]+SalCommune[[#This Row],[Autres Primes]]+SalCommune[[#This Row],[Part patronale]]-ABS(SalCommune[[#This Row],[Remboursement Mutualité]])-ABS(SalCommune[[#This Row],[Remboursement
Autres]]))</f>
        <v/>
      </c>
      <c r="Y145" s="38"/>
      <c r="Z145"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45" s="8"/>
      <c r="AB145" s="64"/>
      <c r="AC145"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45"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45" s="505"/>
      <c r="AF145" s="187"/>
      <c r="AG145" s="200" t="str">
        <f>IF(COUNTA(SalCommune[[#This Row],[N°]:[heures annuelles
selon contrat(s)]])=0,"",REVEX!$E$9)</f>
        <v/>
      </c>
      <c r="AH145" s="73" t="str">
        <f>IF(SalCommune[[#This Row],[Allocations fonctions]]="","",IF(ISNA(VLOOKUP(SalCommune[[#This Row],[Allocations fonctions]],DROPDOWN[Dropdown82],1,FALSE))=TRUE,"&lt;-- Veuillez choisir l'allocation parmis la liste déroulante.",""))</f>
        <v/>
      </c>
    </row>
    <row r="146" spans="1:34" x14ac:dyDescent="0.25">
      <c r="A146" s="73" t="str">
        <f>IF(SalCommune[[#This Row],[Statut]]="","",IF(ISNA(VLOOKUP(SalCommune[[#This Row],[Statut]],'Grille communale'!$B$3:$B$5,1,FALSE))=TRUE,"Veuillez choisir le statut parmis la liste déroulante",""))</f>
        <v/>
      </c>
      <c r="B146" s="8"/>
      <c r="C146" s="8"/>
      <c r="D146" s="8"/>
      <c r="E146" s="21"/>
      <c r="F146" s="8"/>
      <c r="G146" s="8"/>
      <c r="H146" s="9"/>
      <c r="I146" s="9"/>
      <c r="J146" s="9"/>
      <c r="K146" s="10"/>
      <c r="L146" s="10"/>
      <c r="M146" s="9"/>
      <c r="N146" s="9"/>
      <c r="O146" s="9"/>
      <c r="P146"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46" s="9"/>
      <c r="R146" s="9"/>
      <c r="S146" s="38"/>
      <c r="T146" s="38"/>
      <c r="U146" s="38"/>
      <c r="V146" s="38"/>
      <c r="W146" s="38"/>
      <c r="X146" s="67" t="str">
        <f>IF(COUNTA(SalCommune[[#This Row],[N°]:[heures annuelles
selon contrat(s)]])=0,"",SalCommune[[#This Row],[Brut]]+SalCommune[[#This Row],[Autres Primes]]+SalCommune[[#This Row],[Part patronale]]-ABS(SalCommune[[#This Row],[Remboursement Mutualité]])-ABS(SalCommune[[#This Row],[Remboursement
Autres]]))</f>
        <v/>
      </c>
      <c r="Y146" s="38"/>
      <c r="Z146"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46" s="8"/>
      <c r="AB146" s="64"/>
      <c r="AC146"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46"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46" s="505"/>
      <c r="AF146" s="187"/>
      <c r="AG146" s="200" t="str">
        <f>IF(COUNTA(SalCommune[[#This Row],[N°]:[heures annuelles
selon contrat(s)]])=0,"",REVEX!$E$9)</f>
        <v/>
      </c>
      <c r="AH146" s="73" t="str">
        <f>IF(SalCommune[[#This Row],[Allocations fonctions]]="","",IF(ISNA(VLOOKUP(SalCommune[[#This Row],[Allocations fonctions]],DROPDOWN[Dropdown82],1,FALSE))=TRUE,"&lt;-- Veuillez choisir l'allocation parmis la liste déroulante.",""))</f>
        <v/>
      </c>
    </row>
    <row r="147" spans="1:34" x14ac:dyDescent="0.25">
      <c r="A147" s="73" t="str">
        <f>IF(SalCommune[[#This Row],[Statut]]="","",IF(ISNA(VLOOKUP(SalCommune[[#This Row],[Statut]],'Grille communale'!$B$3:$B$5,1,FALSE))=TRUE,"Veuillez choisir le statut parmis la liste déroulante",""))</f>
        <v/>
      </c>
      <c r="B147" s="8"/>
      <c r="C147" s="8"/>
      <c r="D147" s="8"/>
      <c r="E147" s="21"/>
      <c r="F147" s="8"/>
      <c r="G147" s="8"/>
      <c r="H147" s="9"/>
      <c r="I147" s="9"/>
      <c r="J147" s="9"/>
      <c r="K147" s="10"/>
      <c r="L147" s="10"/>
      <c r="M147" s="9"/>
      <c r="N147" s="9"/>
      <c r="O147" s="9"/>
      <c r="P147"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47" s="9"/>
      <c r="R147" s="9"/>
      <c r="S147" s="38"/>
      <c r="T147" s="38"/>
      <c r="U147" s="38"/>
      <c r="V147" s="38"/>
      <c r="W147" s="38"/>
      <c r="X147" s="67" t="str">
        <f>IF(COUNTA(SalCommune[[#This Row],[N°]:[heures annuelles
selon contrat(s)]])=0,"",SalCommune[[#This Row],[Brut]]+SalCommune[[#This Row],[Autres Primes]]+SalCommune[[#This Row],[Part patronale]]-ABS(SalCommune[[#This Row],[Remboursement Mutualité]])-ABS(SalCommune[[#This Row],[Remboursement
Autres]]))</f>
        <v/>
      </c>
      <c r="Y147" s="38"/>
      <c r="Z147"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47" s="8"/>
      <c r="AB147" s="64"/>
      <c r="AC147"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47"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47" s="505"/>
      <c r="AF147" s="187"/>
      <c r="AG147" s="200" t="str">
        <f>IF(COUNTA(SalCommune[[#This Row],[N°]:[heures annuelles
selon contrat(s)]])=0,"",REVEX!$E$9)</f>
        <v/>
      </c>
      <c r="AH147" s="73" t="str">
        <f>IF(SalCommune[[#This Row],[Allocations fonctions]]="","",IF(ISNA(VLOOKUP(SalCommune[[#This Row],[Allocations fonctions]],DROPDOWN[Dropdown82],1,FALSE))=TRUE,"&lt;-- Veuillez choisir l'allocation parmis la liste déroulante.",""))</f>
        <v/>
      </c>
    </row>
    <row r="148" spans="1:34" x14ac:dyDescent="0.25">
      <c r="A148" s="73" t="str">
        <f>IF(SalCommune[[#This Row],[Statut]]="","",IF(ISNA(VLOOKUP(SalCommune[[#This Row],[Statut]],'Grille communale'!$B$3:$B$5,1,FALSE))=TRUE,"Veuillez choisir le statut parmis la liste déroulante",""))</f>
        <v/>
      </c>
      <c r="B148" s="8"/>
      <c r="C148" s="8"/>
      <c r="D148" s="8"/>
      <c r="E148" s="21"/>
      <c r="F148" s="8"/>
      <c r="G148" s="8"/>
      <c r="H148" s="9"/>
      <c r="I148" s="9"/>
      <c r="J148" s="9"/>
      <c r="K148" s="10"/>
      <c r="L148" s="10"/>
      <c r="M148" s="9"/>
      <c r="N148" s="9"/>
      <c r="O148" s="9"/>
      <c r="P148"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48" s="9"/>
      <c r="R148" s="9"/>
      <c r="S148" s="38"/>
      <c r="T148" s="38"/>
      <c r="U148" s="38"/>
      <c r="V148" s="38"/>
      <c r="W148" s="38"/>
      <c r="X148" s="67" t="str">
        <f>IF(COUNTA(SalCommune[[#This Row],[N°]:[heures annuelles
selon contrat(s)]])=0,"",SalCommune[[#This Row],[Brut]]+SalCommune[[#This Row],[Autres Primes]]+SalCommune[[#This Row],[Part patronale]]-ABS(SalCommune[[#This Row],[Remboursement Mutualité]])-ABS(SalCommune[[#This Row],[Remboursement
Autres]]))</f>
        <v/>
      </c>
      <c r="Y148" s="38"/>
      <c r="Z148"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48" s="8"/>
      <c r="AB148" s="64"/>
      <c r="AC148"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48"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48" s="505"/>
      <c r="AF148" s="187"/>
      <c r="AG148" s="200" t="str">
        <f>IF(COUNTA(SalCommune[[#This Row],[N°]:[heures annuelles
selon contrat(s)]])=0,"",REVEX!$E$9)</f>
        <v/>
      </c>
      <c r="AH148" s="73" t="str">
        <f>IF(SalCommune[[#This Row],[Allocations fonctions]]="","",IF(ISNA(VLOOKUP(SalCommune[[#This Row],[Allocations fonctions]],DROPDOWN[Dropdown82],1,FALSE))=TRUE,"&lt;-- Veuillez choisir l'allocation parmis la liste déroulante.",""))</f>
        <v/>
      </c>
    </row>
    <row r="149" spans="1:34" x14ac:dyDescent="0.25">
      <c r="A149" s="73" t="str">
        <f>IF(SalCommune[[#This Row],[Statut]]="","",IF(ISNA(VLOOKUP(SalCommune[[#This Row],[Statut]],'Grille communale'!$B$3:$B$5,1,FALSE))=TRUE,"Veuillez choisir le statut parmis la liste déroulante",""))</f>
        <v/>
      </c>
      <c r="B149" s="8"/>
      <c r="C149" s="8"/>
      <c r="D149" s="8"/>
      <c r="E149" s="21"/>
      <c r="F149" s="8"/>
      <c r="G149" s="8"/>
      <c r="H149" s="9"/>
      <c r="I149" s="9"/>
      <c r="J149" s="9"/>
      <c r="K149" s="10"/>
      <c r="L149" s="10"/>
      <c r="M149" s="9"/>
      <c r="N149" s="9"/>
      <c r="O149" s="9"/>
      <c r="P149"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49" s="9"/>
      <c r="R149" s="9"/>
      <c r="S149" s="38"/>
      <c r="T149" s="38"/>
      <c r="U149" s="38"/>
      <c r="V149" s="38"/>
      <c r="W149" s="38"/>
      <c r="X149" s="67" t="str">
        <f>IF(COUNTA(SalCommune[[#This Row],[N°]:[heures annuelles
selon contrat(s)]])=0,"",SalCommune[[#This Row],[Brut]]+SalCommune[[#This Row],[Autres Primes]]+SalCommune[[#This Row],[Part patronale]]-ABS(SalCommune[[#This Row],[Remboursement Mutualité]])-ABS(SalCommune[[#This Row],[Remboursement
Autres]]))</f>
        <v/>
      </c>
      <c r="Y149" s="38"/>
      <c r="Z149"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49" s="8"/>
      <c r="AB149" s="64"/>
      <c r="AC149"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49"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49" s="505"/>
      <c r="AF149" s="187"/>
      <c r="AG149" s="200" t="str">
        <f>IF(COUNTA(SalCommune[[#This Row],[N°]:[heures annuelles
selon contrat(s)]])=0,"",REVEX!$E$9)</f>
        <v/>
      </c>
      <c r="AH149" s="73" t="str">
        <f>IF(SalCommune[[#This Row],[Allocations fonctions]]="","",IF(ISNA(VLOOKUP(SalCommune[[#This Row],[Allocations fonctions]],DROPDOWN[Dropdown82],1,FALSE))=TRUE,"&lt;-- Veuillez choisir l'allocation parmis la liste déroulante.",""))</f>
        <v/>
      </c>
    </row>
    <row r="150" spans="1:34" x14ac:dyDescent="0.25">
      <c r="A150" s="73" t="str">
        <f>IF(SalCommune[[#This Row],[Statut]]="","",IF(ISNA(VLOOKUP(SalCommune[[#This Row],[Statut]],'Grille communale'!$B$3:$B$5,1,FALSE))=TRUE,"Veuillez choisir le statut parmis la liste déroulante",""))</f>
        <v/>
      </c>
      <c r="B150" s="8"/>
      <c r="C150" s="8"/>
      <c r="D150" s="8"/>
      <c r="E150" s="21"/>
      <c r="F150" s="8"/>
      <c r="G150" s="8"/>
      <c r="H150" s="9"/>
      <c r="I150" s="9"/>
      <c r="J150" s="9"/>
      <c r="K150" s="10"/>
      <c r="L150" s="10"/>
      <c r="M150" s="9"/>
      <c r="N150" s="9"/>
      <c r="O150" s="9"/>
      <c r="P150"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50" s="9"/>
      <c r="R150" s="9"/>
      <c r="S150" s="38"/>
      <c r="T150" s="38"/>
      <c r="U150" s="38"/>
      <c r="V150" s="38"/>
      <c r="W150" s="38"/>
      <c r="X150" s="67" t="str">
        <f>IF(COUNTA(SalCommune[[#This Row],[N°]:[heures annuelles
selon contrat(s)]])=0,"",SalCommune[[#This Row],[Brut]]+SalCommune[[#This Row],[Autres Primes]]+SalCommune[[#This Row],[Part patronale]]-ABS(SalCommune[[#This Row],[Remboursement Mutualité]])-ABS(SalCommune[[#This Row],[Remboursement
Autres]]))</f>
        <v/>
      </c>
      <c r="Y150" s="38"/>
      <c r="Z150"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50" s="8"/>
      <c r="AB150" s="64"/>
      <c r="AC150"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50"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50" s="505"/>
      <c r="AF150" s="187"/>
      <c r="AG150" s="200" t="str">
        <f>IF(COUNTA(SalCommune[[#This Row],[N°]:[heures annuelles
selon contrat(s)]])=0,"",REVEX!$E$9)</f>
        <v/>
      </c>
      <c r="AH150" s="73" t="str">
        <f>IF(SalCommune[[#This Row],[Allocations fonctions]]="","",IF(ISNA(VLOOKUP(SalCommune[[#This Row],[Allocations fonctions]],DROPDOWN[Dropdown82],1,FALSE))=TRUE,"&lt;-- Veuillez choisir l'allocation parmis la liste déroulante.",""))</f>
        <v/>
      </c>
    </row>
    <row r="151" spans="1:34" x14ac:dyDescent="0.25">
      <c r="A151" s="73" t="str">
        <f>IF(SalCommune[[#This Row],[Statut]]="","",IF(ISNA(VLOOKUP(SalCommune[[#This Row],[Statut]],'Grille communale'!$B$3:$B$5,1,FALSE))=TRUE,"Veuillez choisir le statut parmis la liste déroulante",""))</f>
        <v/>
      </c>
      <c r="B151" s="8"/>
      <c r="C151" s="8"/>
      <c r="D151" s="8"/>
      <c r="E151" s="21"/>
      <c r="F151" s="8"/>
      <c r="G151" s="8"/>
      <c r="H151" s="9"/>
      <c r="I151" s="9"/>
      <c r="J151" s="9"/>
      <c r="K151" s="10"/>
      <c r="L151" s="10"/>
      <c r="M151" s="9"/>
      <c r="N151" s="9"/>
      <c r="O151" s="9"/>
      <c r="P151"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51" s="9"/>
      <c r="R151" s="9"/>
      <c r="S151" s="38"/>
      <c r="T151" s="38"/>
      <c r="U151" s="38"/>
      <c r="V151" s="38"/>
      <c r="W151" s="38"/>
      <c r="X151" s="67" t="str">
        <f>IF(COUNTA(SalCommune[[#This Row],[N°]:[heures annuelles
selon contrat(s)]])=0,"",SalCommune[[#This Row],[Brut]]+SalCommune[[#This Row],[Autres Primes]]+SalCommune[[#This Row],[Part patronale]]-ABS(SalCommune[[#This Row],[Remboursement Mutualité]])-ABS(SalCommune[[#This Row],[Remboursement
Autres]]))</f>
        <v/>
      </c>
      <c r="Y151" s="38"/>
      <c r="Z151"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51" s="8"/>
      <c r="AB151" s="64"/>
      <c r="AC151"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51"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51" s="505"/>
      <c r="AF151" s="187"/>
      <c r="AG151" s="200" t="str">
        <f>IF(COUNTA(SalCommune[[#This Row],[N°]:[heures annuelles
selon contrat(s)]])=0,"",REVEX!$E$9)</f>
        <v/>
      </c>
      <c r="AH151" s="73" t="str">
        <f>IF(SalCommune[[#This Row],[Allocations fonctions]]="","",IF(ISNA(VLOOKUP(SalCommune[[#This Row],[Allocations fonctions]],DROPDOWN[Dropdown82],1,FALSE))=TRUE,"&lt;-- Veuillez choisir l'allocation parmis la liste déroulante.",""))</f>
        <v/>
      </c>
    </row>
    <row r="152" spans="1:34" x14ac:dyDescent="0.25">
      <c r="A152" s="73" t="str">
        <f>IF(SalCommune[[#This Row],[Statut]]="","",IF(ISNA(VLOOKUP(SalCommune[[#This Row],[Statut]],'Grille communale'!$B$3:$B$5,1,FALSE))=TRUE,"Veuillez choisir le statut parmis la liste déroulante",""))</f>
        <v/>
      </c>
      <c r="B152" s="8"/>
      <c r="C152" s="8"/>
      <c r="D152" s="8"/>
      <c r="E152" s="21"/>
      <c r="F152" s="8"/>
      <c r="G152" s="8"/>
      <c r="H152" s="9"/>
      <c r="I152" s="9"/>
      <c r="J152" s="9"/>
      <c r="K152" s="10"/>
      <c r="L152" s="10"/>
      <c r="M152" s="9"/>
      <c r="N152" s="9"/>
      <c r="O152" s="9"/>
      <c r="P152"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52" s="9"/>
      <c r="R152" s="9"/>
      <c r="S152" s="38"/>
      <c r="T152" s="38"/>
      <c r="U152" s="38"/>
      <c r="V152" s="38"/>
      <c r="W152" s="38"/>
      <c r="X152" s="67" t="str">
        <f>IF(COUNTA(SalCommune[[#This Row],[N°]:[heures annuelles
selon contrat(s)]])=0,"",SalCommune[[#This Row],[Brut]]+SalCommune[[#This Row],[Autres Primes]]+SalCommune[[#This Row],[Part patronale]]-ABS(SalCommune[[#This Row],[Remboursement Mutualité]])-ABS(SalCommune[[#This Row],[Remboursement
Autres]]))</f>
        <v/>
      </c>
      <c r="Y152" s="38"/>
      <c r="Z152"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52" s="8"/>
      <c r="AB152" s="64"/>
      <c r="AC152"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52"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52" s="505"/>
      <c r="AF152" s="187"/>
      <c r="AG152" s="200" t="str">
        <f>IF(COUNTA(SalCommune[[#This Row],[N°]:[heures annuelles
selon contrat(s)]])=0,"",REVEX!$E$9)</f>
        <v/>
      </c>
      <c r="AH152" s="73" t="str">
        <f>IF(SalCommune[[#This Row],[Allocations fonctions]]="","",IF(ISNA(VLOOKUP(SalCommune[[#This Row],[Allocations fonctions]],DROPDOWN[Dropdown82],1,FALSE))=TRUE,"&lt;-- Veuillez choisir l'allocation parmis la liste déroulante.",""))</f>
        <v/>
      </c>
    </row>
    <row r="153" spans="1:34" x14ac:dyDescent="0.25">
      <c r="A153" s="73" t="str">
        <f>IF(SalCommune[[#This Row],[Statut]]="","",IF(ISNA(VLOOKUP(SalCommune[[#This Row],[Statut]],'Grille communale'!$B$3:$B$5,1,FALSE))=TRUE,"Veuillez choisir le statut parmis la liste déroulante",""))</f>
        <v/>
      </c>
      <c r="B153" s="8"/>
      <c r="C153" s="8"/>
      <c r="D153" s="8"/>
      <c r="E153" s="21"/>
      <c r="F153" s="8"/>
      <c r="G153" s="8"/>
      <c r="H153" s="9"/>
      <c r="I153" s="9"/>
      <c r="J153" s="9"/>
      <c r="K153" s="10"/>
      <c r="L153" s="10"/>
      <c r="M153" s="9"/>
      <c r="N153" s="9"/>
      <c r="O153" s="9"/>
      <c r="P153"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53" s="9"/>
      <c r="R153" s="9"/>
      <c r="S153" s="38"/>
      <c r="T153" s="38"/>
      <c r="U153" s="38"/>
      <c r="V153" s="38"/>
      <c r="W153" s="38"/>
      <c r="X153" s="67" t="str">
        <f>IF(COUNTA(SalCommune[[#This Row],[N°]:[heures annuelles
selon contrat(s)]])=0,"",SalCommune[[#This Row],[Brut]]+SalCommune[[#This Row],[Autres Primes]]+SalCommune[[#This Row],[Part patronale]]-ABS(SalCommune[[#This Row],[Remboursement Mutualité]])-ABS(SalCommune[[#This Row],[Remboursement
Autres]]))</f>
        <v/>
      </c>
      <c r="Y153" s="38"/>
      <c r="Z153"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53" s="8"/>
      <c r="AB153" s="64"/>
      <c r="AC153"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53"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53" s="505"/>
      <c r="AF153" s="187"/>
      <c r="AG153" s="200" t="str">
        <f>IF(COUNTA(SalCommune[[#This Row],[N°]:[heures annuelles
selon contrat(s)]])=0,"",REVEX!$E$9)</f>
        <v/>
      </c>
      <c r="AH153" s="73" t="str">
        <f>IF(SalCommune[[#This Row],[Allocations fonctions]]="","",IF(ISNA(VLOOKUP(SalCommune[[#This Row],[Allocations fonctions]],DROPDOWN[Dropdown82],1,FALSE))=TRUE,"&lt;-- Veuillez choisir l'allocation parmis la liste déroulante.",""))</f>
        <v/>
      </c>
    </row>
    <row r="154" spans="1:34" x14ac:dyDescent="0.25">
      <c r="A154" s="73" t="str">
        <f>IF(SalCommune[[#This Row],[Statut]]="","",IF(ISNA(VLOOKUP(SalCommune[[#This Row],[Statut]],'Grille communale'!$B$3:$B$5,1,FALSE))=TRUE,"Veuillez choisir le statut parmis la liste déroulante",""))</f>
        <v/>
      </c>
      <c r="B154" s="8"/>
      <c r="C154" s="8"/>
      <c r="D154" s="8"/>
      <c r="E154" s="21"/>
      <c r="F154" s="8"/>
      <c r="G154" s="8"/>
      <c r="H154" s="9"/>
      <c r="I154" s="9"/>
      <c r="J154" s="9"/>
      <c r="K154" s="10"/>
      <c r="L154" s="10"/>
      <c r="M154" s="9"/>
      <c r="N154" s="9"/>
      <c r="O154" s="9"/>
      <c r="P154"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54" s="9"/>
      <c r="R154" s="9"/>
      <c r="S154" s="38"/>
      <c r="T154" s="38"/>
      <c r="U154" s="38"/>
      <c r="V154" s="38"/>
      <c r="W154" s="38"/>
      <c r="X154" s="67" t="str">
        <f>IF(COUNTA(SalCommune[[#This Row],[N°]:[heures annuelles
selon contrat(s)]])=0,"",SalCommune[[#This Row],[Brut]]+SalCommune[[#This Row],[Autres Primes]]+SalCommune[[#This Row],[Part patronale]]-ABS(SalCommune[[#This Row],[Remboursement Mutualité]])-ABS(SalCommune[[#This Row],[Remboursement
Autres]]))</f>
        <v/>
      </c>
      <c r="Y154" s="38"/>
      <c r="Z154"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54" s="8"/>
      <c r="AB154" s="64"/>
      <c r="AC154"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54"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54" s="505"/>
      <c r="AF154" s="187"/>
      <c r="AG154" s="200" t="str">
        <f>IF(COUNTA(SalCommune[[#This Row],[N°]:[heures annuelles
selon contrat(s)]])=0,"",REVEX!$E$9)</f>
        <v/>
      </c>
      <c r="AH154" s="73" t="str">
        <f>IF(SalCommune[[#This Row],[Allocations fonctions]]="","",IF(ISNA(VLOOKUP(SalCommune[[#This Row],[Allocations fonctions]],DROPDOWN[Dropdown82],1,FALSE))=TRUE,"&lt;-- Veuillez choisir l'allocation parmis la liste déroulante.",""))</f>
        <v/>
      </c>
    </row>
    <row r="155" spans="1:34" x14ac:dyDescent="0.25">
      <c r="A155" s="73" t="str">
        <f>IF(SalCommune[[#This Row],[Statut]]="","",IF(ISNA(VLOOKUP(SalCommune[[#This Row],[Statut]],'Grille communale'!$B$3:$B$5,1,FALSE))=TRUE,"Veuillez choisir le statut parmis la liste déroulante",""))</f>
        <v/>
      </c>
      <c r="B155" s="8"/>
      <c r="C155" s="8"/>
      <c r="D155" s="8"/>
      <c r="E155" s="21"/>
      <c r="F155" s="8"/>
      <c r="G155" s="8"/>
      <c r="H155" s="9"/>
      <c r="I155" s="9"/>
      <c r="J155" s="9"/>
      <c r="K155" s="10"/>
      <c r="L155" s="10"/>
      <c r="M155" s="9"/>
      <c r="N155" s="9"/>
      <c r="O155" s="9"/>
      <c r="P155"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55" s="9"/>
      <c r="R155" s="9"/>
      <c r="S155" s="38"/>
      <c r="T155" s="38"/>
      <c r="U155" s="38"/>
      <c r="V155" s="38"/>
      <c r="W155" s="38"/>
      <c r="X155" s="67" t="str">
        <f>IF(COUNTA(SalCommune[[#This Row],[N°]:[heures annuelles
selon contrat(s)]])=0,"",SalCommune[[#This Row],[Brut]]+SalCommune[[#This Row],[Autres Primes]]+SalCommune[[#This Row],[Part patronale]]-ABS(SalCommune[[#This Row],[Remboursement Mutualité]])-ABS(SalCommune[[#This Row],[Remboursement
Autres]]))</f>
        <v/>
      </c>
      <c r="Y155" s="38"/>
      <c r="Z155"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55" s="8"/>
      <c r="AB155" s="64"/>
      <c r="AC155"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55"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55" s="505"/>
      <c r="AF155" s="187"/>
      <c r="AG155" s="200" t="str">
        <f>IF(COUNTA(SalCommune[[#This Row],[N°]:[heures annuelles
selon contrat(s)]])=0,"",REVEX!$E$9)</f>
        <v/>
      </c>
      <c r="AH155" s="73" t="str">
        <f>IF(SalCommune[[#This Row],[Allocations fonctions]]="","",IF(ISNA(VLOOKUP(SalCommune[[#This Row],[Allocations fonctions]],DROPDOWN[Dropdown82],1,FALSE))=TRUE,"&lt;-- Veuillez choisir l'allocation parmis la liste déroulante.",""))</f>
        <v/>
      </c>
    </row>
    <row r="156" spans="1:34" x14ac:dyDescent="0.25">
      <c r="A156" s="73" t="str">
        <f>IF(SalCommune[[#This Row],[Statut]]="","",IF(ISNA(VLOOKUP(SalCommune[[#This Row],[Statut]],'Grille communale'!$B$3:$B$5,1,FALSE))=TRUE,"Veuillez choisir le statut parmis la liste déroulante",""))</f>
        <v/>
      </c>
      <c r="B156" s="8"/>
      <c r="C156" s="8"/>
      <c r="D156" s="8"/>
      <c r="E156" s="21"/>
      <c r="F156" s="8"/>
      <c r="G156" s="8"/>
      <c r="H156" s="9"/>
      <c r="I156" s="9"/>
      <c r="J156" s="9"/>
      <c r="K156" s="10"/>
      <c r="L156" s="10"/>
      <c r="M156" s="9"/>
      <c r="N156" s="9"/>
      <c r="O156" s="9"/>
      <c r="P156"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56" s="9"/>
      <c r="R156" s="9"/>
      <c r="S156" s="38"/>
      <c r="T156" s="38"/>
      <c r="U156" s="38"/>
      <c r="V156" s="38"/>
      <c r="W156" s="38"/>
      <c r="X156" s="67" t="str">
        <f>IF(COUNTA(SalCommune[[#This Row],[N°]:[heures annuelles
selon contrat(s)]])=0,"",SalCommune[[#This Row],[Brut]]+SalCommune[[#This Row],[Autres Primes]]+SalCommune[[#This Row],[Part patronale]]-ABS(SalCommune[[#This Row],[Remboursement Mutualité]])-ABS(SalCommune[[#This Row],[Remboursement
Autres]]))</f>
        <v/>
      </c>
      <c r="Y156" s="38"/>
      <c r="Z156"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56" s="8"/>
      <c r="AB156" s="64"/>
      <c r="AC156"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56"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56" s="505"/>
      <c r="AF156" s="187"/>
      <c r="AG156" s="200" t="str">
        <f>IF(COUNTA(SalCommune[[#This Row],[N°]:[heures annuelles
selon contrat(s)]])=0,"",REVEX!$E$9)</f>
        <v/>
      </c>
      <c r="AH156" s="73" t="str">
        <f>IF(SalCommune[[#This Row],[Allocations fonctions]]="","",IF(ISNA(VLOOKUP(SalCommune[[#This Row],[Allocations fonctions]],DROPDOWN[Dropdown82],1,FALSE))=TRUE,"&lt;-- Veuillez choisir l'allocation parmis la liste déroulante.",""))</f>
        <v/>
      </c>
    </row>
    <row r="157" spans="1:34" x14ac:dyDescent="0.25">
      <c r="A157" s="73" t="str">
        <f>IF(SalCommune[[#This Row],[Statut]]="","",IF(ISNA(VLOOKUP(SalCommune[[#This Row],[Statut]],'Grille communale'!$B$3:$B$5,1,FALSE))=TRUE,"Veuillez choisir le statut parmis la liste déroulante",""))</f>
        <v/>
      </c>
      <c r="B157" s="8"/>
      <c r="C157" s="8"/>
      <c r="D157" s="8"/>
      <c r="E157" s="21"/>
      <c r="F157" s="8"/>
      <c r="G157" s="8"/>
      <c r="H157" s="9"/>
      <c r="I157" s="9"/>
      <c r="J157" s="9"/>
      <c r="K157" s="10"/>
      <c r="L157" s="10"/>
      <c r="M157" s="9"/>
      <c r="N157" s="9"/>
      <c r="O157" s="9"/>
      <c r="P157"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57" s="9"/>
      <c r="R157" s="9"/>
      <c r="S157" s="38"/>
      <c r="T157" s="38"/>
      <c r="U157" s="38"/>
      <c r="V157" s="38"/>
      <c r="W157" s="38"/>
      <c r="X157" s="67" t="str">
        <f>IF(COUNTA(SalCommune[[#This Row],[N°]:[heures annuelles
selon contrat(s)]])=0,"",SalCommune[[#This Row],[Brut]]+SalCommune[[#This Row],[Autres Primes]]+SalCommune[[#This Row],[Part patronale]]-ABS(SalCommune[[#This Row],[Remboursement Mutualité]])-ABS(SalCommune[[#This Row],[Remboursement
Autres]]))</f>
        <v/>
      </c>
      <c r="Y157" s="38"/>
      <c r="Z157"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57" s="8"/>
      <c r="AB157" s="64"/>
      <c r="AC157"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57"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57" s="505"/>
      <c r="AF157" s="187"/>
      <c r="AG157" s="200" t="str">
        <f>IF(COUNTA(SalCommune[[#This Row],[N°]:[heures annuelles
selon contrat(s)]])=0,"",REVEX!$E$9)</f>
        <v/>
      </c>
      <c r="AH157" s="73" t="str">
        <f>IF(SalCommune[[#This Row],[Allocations fonctions]]="","",IF(ISNA(VLOOKUP(SalCommune[[#This Row],[Allocations fonctions]],DROPDOWN[Dropdown82],1,FALSE))=TRUE,"&lt;-- Veuillez choisir l'allocation parmis la liste déroulante.",""))</f>
        <v/>
      </c>
    </row>
    <row r="158" spans="1:34" x14ac:dyDescent="0.25">
      <c r="A158" s="73" t="str">
        <f>IF(SalCommune[[#This Row],[Statut]]="","",IF(ISNA(VLOOKUP(SalCommune[[#This Row],[Statut]],'Grille communale'!$B$3:$B$5,1,FALSE))=TRUE,"Veuillez choisir le statut parmis la liste déroulante",""))</f>
        <v/>
      </c>
      <c r="B158" s="8"/>
      <c r="C158" s="8"/>
      <c r="D158" s="8"/>
      <c r="E158" s="21"/>
      <c r="F158" s="8"/>
      <c r="G158" s="8"/>
      <c r="H158" s="9"/>
      <c r="I158" s="9"/>
      <c r="J158" s="9"/>
      <c r="K158" s="10"/>
      <c r="L158" s="10"/>
      <c r="M158" s="9"/>
      <c r="N158" s="9"/>
      <c r="O158" s="9"/>
      <c r="P158"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58" s="9"/>
      <c r="R158" s="9"/>
      <c r="S158" s="38"/>
      <c r="T158" s="38"/>
      <c r="U158" s="38"/>
      <c r="V158" s="38"/>
      <c r="W158" s="38"/>
      <c r="X158" s="67" t="str">
        <f>IF(COUNTA(SalCommune[[#This Row],[N°]:[heures annuelles
selon contrat(s)]])=0,"",SalCommune[[#This Row],[Brut]]+SalCommune[[#This Row],[Autres Primes]]+SalCommune[[#This Row],[Part patronale]]-ABS(SalCommune[[#This Row],[Remboursement Mutualité]])-ABS(SalCommune[[#This Row],[Remboursement
Autres]]))</f>
        <v/>
      </c>
      <c r="Y158" s="38"/>
      <c r="Z158"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58" s="8"/>
      <c r="AB158" s="64"/>
      <c r="AC158"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58"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58" s="505"/>
      <c r="AF158" s="187"/>
      <c r="AG158" s="200" t="str">
        <f>IF(COUNTA(SalCommune[[#This Row],[N°]:[heures annuelles
selon contrat(s)]])=0,"",REVEX!$E$9)</f>
        <v/>
      </c>
      <c r="AH158" s="73" t="str">
        <f>IF(SalCommune[[#This Row],[Allocations fonctions]]="","",IF(ISNA(VLOOKUP(SalCommune[[#This Row],[Allocations fonctions]],DROPDOWN[Dropdown82],1,FALSE))=TRUE,"&lt;-- Veuillez choisir l'allocation parmis la liste déroulante.",""))</f>
        <v/>
      </c>
    </row>
    <row r="159" spans="1:34" x14ac:dyDescent="0.25">
      <c r="A159" s="73" t="str">
        <f>IF(SalCommune[[#This Row],[Statut]]="","",IF(ISNA(VLOOKUP(SalCommune[[#This Row],[Statut]],'Grille communale'!$B$3:$B$5,1,FALSE))=TRUE,"Veuillez choisir le statut parmis la liste déroulante",""))</f>
        <v/>
      </c>
      <c r="B159" s="8"/>
      <c r="C159" s="8"/>
      <c r="D159" s="8"/>
      <c r="E159" s="21"/>
      <c r="F159" s="8"/>
      <c r="G159" s="8"/>
      <c r="H159" s="9"/>
      <c r="I159" s="9"/>
      <c r="J159" s="9"/>
      <c r="K159" s="10"/>
      <c r="L159" s="10"/>
      <c r="M159" s="9"/>
      <c r="N159" s="9"/>
      <c r="O159" s="9"/>
      <c r="P159"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59" s="9"/>
      <c r="R159" s="9"/>
      <c r="S159" s="38"/>
      <c r="T159" s="38"/>
      <c r="U159" s="38"/>
      <c r="V159" s="38"/>
      <c r="W159" s="38"/>
      <c r="X159" s="67" t="str">
        <f>IF(COUNTA(SalCommune[[#This Row],[N°]:[heures annuelles
selon contrat(s)]])=0,"",SalCommune[[#This Row],[Brut]]+SalCommune[[#This Row],[Autres Primes]]+SalCommune[[#This Row],[Part patronale]]-ABS(SalCommune[[#This Row],[Remboursement Mutualité]])-ABS(SalCommune[[#This Row],[Remboursement
Autres]]))</f>
        <v/>
      </c>
      <c r="Y159" s="38"/>
      <c r="Z159"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59" s="8"/>
      <c r="AB159" s="64"/>
      <c r="AC159"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59"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59" s="505"/>
      <c r="AF159" s="187"/>
      <c r="AG159" s="200" t="str">
        <f>IF(COUNTA(SalCommune[[#This Row],[N°]:[heures annuelles
selon contrat(s)]])=0,"",REVEX!$E$9)</f>
        <v/>
      </c>
      <c r="AH159" s="73" t="str">
        <f>IF(SalCommune[[#This Row],[Allocations fonctions]]="","",IF(ISNA(VLOOKUP(SalCommune[[#This Row],[Allocations fonctions]],DROPDOWN[Dropdown82],1,FALSE))=TRUE,"&lt;-- Veuillez choisir l'allocation parmis la liste déroulante.",""))</f>
        <v/>
      </c>
    </row>
    <row r="160" spans="1:34" x14ac:dyDescent="0.25">
      <c r="A160" s="73" t="str">
        <f>IF(SalCommune[[#This Row],[Statut]]="","",IF(ISNA(VLOOKUP(SalCommune[[#This Row],[Statut]],'Grille communale'!$B$3:$B$5,1,FALSE))=TRUE,"Veuillez choisir le statut parmis la liste déroulante",""))</f>
        <v/>
      </c>
      <c r="B160" s="8"/>
      <c r="C160" s="8"/>
      <c r="D160" s="8"/>
      <c r="E160" s="21"/>
      <c r="F160" s="8"/>
      <c r="G160" s="8"/>
      <c r="H160" s="9"/>
      <c r="I160" s="9"/>
      <c r="J160" s="9"/>
      <c r="K160" s="10"/>
      <c r="L160" s="10"/>
      <c r="M160" s="9"/>
      <c r="N160" s="9"/>
      <c r="O160" s="9"/>
      <c r="P160"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60" s="9"/>
      <c r="R160" s="9"/>
      <c r="S160" s="38"/>
      <c r="T160" s="38"/>
      <c r="U160" s="38"/>
      <c r="V160" s="38"/>
      <c r="W160" s="38"/>
      <c r="X160" s="67" t="str">
        <f>IF(COUNTA(SalCommune[[#This Row],[N°]:[heures annuelles
selon contrat(s)]])=0,"",SalCommune[[#This Row],[Brut]]+SalCommune[[#This Row],[Autres Primes]]+SalCommune[[#This Row],[Part patronale]]-ABS(SalCommune[[#This Row],[Remboursement Mutualité]])-ABS(SalCommune[[#This Row],[Remboursement
Autres]]))</f>
        <v/>
      </c>
      <c r="Y160" s="38"/>
      <c r="Z160"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60" s="8"/>
      <c r="AB160" s="64"/>
      <c r="AC160"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60"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60" s="505"/>
      <c r="AF160" s="187"/>
      <c r="AG160" s="200" t="str">
        <f>IF(COUNTA(SalCommune[[#This Row],[N°]:[heures annuelles
selon contrat(s)]])=0,"",REVEX!$E$9)</f>
        <v/>
      </c>
      <c r="AH160" s="73" t="str">
        <f>IF(SalCommune[[#This Row],[Allocations fonctions]]="","",IF(ISNA(VLOOKUP(SalCommune[[#This Row],[Allocations fonctions]],DROPDOWN[Dropdown82],1,FALSE))=TRUE,"&lt;-- Veuillez choisir l'allocation parmis la liste déroulante.",""))</f>
        <v/>
      </c>
    </row>
    <row r="161" spans="1:34" x14ac:dyDescent="0.25">
      <c r="A161" s="73" t="str">
        <f>IF(SalCommune[[#This Row],[Statut]]="","",IF(ISNA(VLOOKUP(SalCommune[[#This Row],[Statut]],'Grille communale'!$B$3:$B$5,1,FALSE))=TRUE,"Veuillez choisir le statut parmis la liste déroulante",""))</f>
        <v/>
      </c>
      <c r="B161" s="8"/>
      <c r="C161" s="8"/>
      <c r="D161" s="8"/>
      <c r="E161" s="21"/>
      <c r="F161" s="8"/>
      <c r="G161" s="8"/>
      <c r="H161" s="9"/>
      <c r="I161" s="9"/>
      <c r="J161" s="9"/>
      <c r="K161" s="10"/>
      <c r="L161" s="10"/>
      <c r="M161" s="9"/>
      <c r="N161" s="9"/>
      <c r="O161" s="9"/>
      <c r="P161"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61" s="9"/>
      <c r="R161" s="9"/>
      <c r="S161" s="38"/>
      <c r="T161" s="38"/>
      <c r="U161" s="38"/>
      <c r="V161" s="38"/>
      <c r="W161" s="38"/>
      <c r="X161" s="67" t="str">
        <f>IF(COUNTA(SalCommune[[#This Row],[N°]:[heures annuelles
selon contrat(s)]])=0,"",SalCommune[[#This Row],[Brut]]+SalCommune[[#This Row],[Autres Primes]]+SalCommune[[#This Row],[Part patronale]]-ABS(SalCommune[[#This Row],[Remboursement Mutualité]])-ABS(SalCommune[[#This Row],[Remboursement
Autres]]))</f>
        <v/>
      </c>
      <c r="Y161" s="38"/>
      <c r="Z161"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61" s="8"/>
      <c r="AB161" s="64"/>
      <c r="AC161"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61"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61" s="505"/>
      <c r="AF161" s="187"/>
      <c r="AG161" s="200" t="str">
        <f>IF(COUNTA(SalCommune[[#This Row],[N°]:[heures annuelles
selon contrat(s)]])=0,"",REVEX!$E$9)</f>
        <v/>
      </c>
      <c r="AH161" s="73" t="str">
        <f>IF(SalCommune[[#This Row],[Allocations fonctions]]="","",IF(ISNA(VLOOKUP(SalCommune[[#This Row],[Allocations fonctions]],DROPDOWN[Dropdown82],1,FALSE))=TRUE,"&lt;-- Veuillez choisir l'allocation parmis la liste déroulante.",""))</f>
        <v/>
      </c>
    </row>
    <row r="162" spans="1:34" x14ac:dyDescent="0.25">
      <c r="A162" s="73" t="str">
        <f>IF(SalCommune[[#This Row],[Statut]]="","",IF(ISNA(VLOOKUP(SalCommune[[#This Row],[Statut]],'Grille communale'!$B$3:$B$5,1,FALSE))=TRUE,"Veuillez choisir le statut parmis la liste déroulante",""))</f>
        <v/>
      </c>
      <c r="B162" s="8"/>
      <c r="C162" s="8"/>
      <c r="D162" s="8"/>
      <c r="E162" s="21"/>
      <c r="F162" s="8"/>
      <c r="G162" s="8"/>
      <c r="H162" s="9"/>
      <c r="I162" s="9"/>
      <c r="J162" s="9"/>
      <c r="K162" s="10"/>
      <c r="L162" s="10"/>
      <c r="M162" s="9"/>
      <c r="N162" s="9"/>
      <c r="O162" s="9"/>
      <c r="P162"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62" s="9"/>
      <c r="R162" s="9"/>
      <c r="S162" s="38"/>
      <c r="T162" s="38"/>
      <c r="U162" s="38"/>
      <c r="V162" s="38"/>
      <c r="W162" s="38"/>
      <c r="X162" s="67" t="str">
        <f>IF(COUNTA(SalCommune[[#This Row],[N°]:[heures annuelles
selon contrat(s)]])=0,"",SalCommune[[#This Row],[Brut]]+SalCommune[[#This Row],[Autres Primes]]+SalCommune[[#This Row],[Part patronale]]-ABS(SalCommune[[#This Row],[Remboursement Mutualité]])-ABS(SalCommune[[#This Row],[Remboursement
Autres]]))</f>
        <v/>
      </c>
      <c r="Y162" s="38"/>
      <c r="Z162"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62" s="8"/>
      <c r="AB162" s="64"/>
      <c r="AC162"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62"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62" s="505"/>
      <c r="AF162" s="187"/>
      <c r="AG162" s="200" t="str">
        <f>IF(COUNTA(SalCommune[[#This Row],[N°]:[heures annuelles
selon contrat(s)]])=0,"",REVEX!$E$9)</f>
        <v/>
      </c>
      <c r="AH162" s="73" t="str">
        <f>IF(SalCommune[[#This Row],[Allocations fonctions]]="","",IF(ISNA(VLOOKUP(SalCommune[[#This Row],[Allocations fonctions]],DROPDOWN[Dropdown82],1,FALSE))=TRUE,"&lt;-- Veuillez choisir l'allocation parmis la liste déroulante.",""))</f>
        <v/>
      </c>
    </row>
    <row r="163" spans="1:34" x14ac:dyDescent="0.25">
      <c r="A163" s="73" t="str">
        <f>IF(SalCommune[[#This Row],[Statut]]="","",IF(ISNA(VLOOKUP(SalCommune[[#This Row],[Statut]],'Grille communale'!$B$3:$B$5,1,FALSE))=TRUE,"Veuillez choisir le statut parmis la liste déroulante",""))</f>
        <v/>
      </c>
      <c r="B163" s="8"/>
      <c r="C163" s="8"/>
      <c r="D163" s="8"/>
      <c r="E163" s="21"/>
      <c r="F163" s="8"/>
      <c r="G163" s="8"/>
      <c r="H163" s="9"/>
      <c r="I163" s="9"/>
      <c r="J163" s="9"/>
      <c r="K163" s="10"/>
      <c r="L163" s="10"/>
      <c r="M163" s="9"/>
      <c r="N163" s="9"/>
      <c r="O163" s="9"/>
      <c r="P163"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63" s="9"/>
      <c r="R163" s="9"/>
      <c r="S163" s="38"/>
      <c r="T163" s="38"/>
      <c r="U163" s="38"/>
      <c r="V163" s="38"/>
      <c r="W163" s="38"/>
      <c r="X163" s="67" t="str">
        <f>IF(COUNTA(SalCommune[[#This Row],[N°]:[heures annuelles
selon contrat(s)]])=0,"",SalCommune[[#This Row],[Brut]]+SalCommune[[#This Row],[Autres Primes]]+SalCommune[[#This Row],[Part patronale]]-ABS(SalCommune[[#This Row],[Remboursement Mutualité]])-ABS(SalCommune[[#This Row],[Remboursement
Autres]]))</f>
        <v/>
      </c>
      <c r="Y163" s="38"/>
      <c r="Z163"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63" s="8"/>
      <c r="AB163" s="64"/>
      <c r="AC163"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63"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63" s="505"/>
      <c r="AF163" s="187"/>
      <c r="AG163" s="200" t="str">
        <f>IF(COUNTA(SalCommune[[#This Row],[N°]:[heures annuelles
selon contrat(s)]])=0,"",REVEX!$E$9)</f>
        <v/>
      </c>
      <c r="AH163" s="73" t="str">
        <f>IF(SalCommune[[#This Row],[Allocations fonctions]]="","",IF(ISNA(VLOOKUP(SalCommune[[#This Row],[Allocations fonctions]],DROPDOWN[Dropdown82],1,FALSE))=TRUE,"&lt;-- Veuillez choisir l'allocation parmis la liste déroulante.",""))</f>
        <v/>
      </c>
    </row>
    <row r="164" spans="1:34" x14ac:dyDescent="0.25">
      <c r="A164" s="73" t="str">
        <f>IF(SalCommune[[#This Row],[Statut]]="","",IF(ISNA(VLOOKUP(SalCommune[[#This Row],[Statut]],'Grille communale'!$B$3:$B$5,1,FALSE))=TRUE,"Veuillez choisir le statut parmis la liste déroulante",""))</f>
        <v/>
      </c>
      <c r="B164" s="8"/>
      <c r="C164" s="8"/>
      <c r="D164" s="8"/>
      <c r="E164" s="21"/>
      <c r="F164" s="8"/>
      <c r="G164" s="8"/>
      <c r="H164" s="9"/>
      <c r="I164" s="9"/>
      <c r="J164" s="9"/>
      <c r="K164" s="10"/>
      <c r="L164" s="10"/>
      <c r="M164" s="9"/>
      <c r="N164" s="9"/>
      <c r="O164" s="9"/>
      <c r="P164"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64" s="9"/>
      <c r="R164" s="9"/>
      <c r="S164" s="38"/>
      <c r="T164" s="38"/>
      <c r="U164" s="38"/>
      <c r="V164" s="38"/>
      <c r="W164" s="38"/>
      <c r="X164" s="67" t="str">
        <f>IF(COUNTA(SalCommune[[#This Row],[N°]:[heures annuelles
selon contrat(s)]])=0,"",SalCommune[[#This Row],[Brut]]+SalCommune[[#This Row],[Autres Primes]]+SalCommune[[#This Row],[Part patronale]]-ABS(SalCommune[[#This Row],[Remboursement Mutualité]])-ABS(SalCommune[[#This Row],[Remboursement
Autres]]))</f>
        <v/>
      </c>
      <c r="Y164" s="38"/>
      <c r="Z164"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64" s="8"/>
      <c r="AB164" s="64"/>
      <c r="AC164"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64"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64" s="505"/>
      <c r="AF164" s="187"/>
      <c r="AG164" s="200" t="str">
        <f>IF(COUNTA(SalCommune[[#This Row],[N°]:[heures annuelles
selon contrat(s)]])=0,"",REVEX!$E$9)</f>
        <v/>
      </c>
      <c r="AH164" s="73" t="str">
        <f>IF(SalCommune[[#This Row],[Allocations fonctions]]="","",IF(ISNA(VLOOKUP(SalCommune[[#This Row],[Allocations fonctions]],DROPDOWN[Dropdown82],1,FALSE))=TRUE,"&lt;-- Veuillez choisir l'allocation parmis la liste déroulante.",""))</f>
        <v/>
      </c>
    </row>
    <row r="165" spans="1:34" x14ac:dyDescent="0.25">
      <c r="A165" s="73" t="str">
        <f>IF(SalCommune[[#This Row],[Statut]]="","",IF(ISNA(VLOOKUP(SalCommune[[#This Row],[Statut]],'Grille communale'!$B$3:$B$5,1,FALSE))=TRUE,"Veuillez choisir le statut parmis la liste déroulante",""))</f>
        <v/>
      </c>
      <c r="B165" s="8"/>
      <c r="C165" s="8"/>
      <c r="D165" s="8"/>
      <c r="E165" s="21"/>
      <c r="F165" s="8"/>
      <c r="G165" s="8"/>
      <c r="H165" s="9"/>
      <c r="I165" s="9"/>
      <c r="J165" s="9"/>
      <c r="K165" s="10"/>
      <c r="L165" s="10"/>
      <c r="M165" s="9"/>
      <c r="N165" s="9"/>
      <c r="O165" s="9"/>
      <c r="P165"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65" s="9"/>
      <c r="R165" s="9"/>
      <c r="S165" s="38"/>
      <c r="T165" s="38"/>
      <c r="U165" s="38"/>
      <c r="V165" s="38"/>
      <c r="W165" s="38"/>
      <c r="X165" s="67" t="str">
        <f>IF(COUNTA(SalCommune[[#This Row],[N°]:[heures annuelles
selon contrat(s)]])=0,"",SalCommune[[#This Row],[Brut]]+SalCommune[[#This Row],[Autres Primes]]+SalCommune[[#This Row],[Part patronale]]-ABS(SalCommune[[#This Row],[Remboursement Mutualité]])-ABS(SalCommune[[#This Row],[Remboursement
Autres]]))</f>
        <v/>
      </c>
      <c r="Y165" s="38"/>
      <c r="Z165"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65" s="8"/>
      <c r="AB165" s="64"/>
      <c r="AC165"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65"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65" s="505"/>
      <c r="AF165" s="187"/>
      <c r="AG165" s="200" t="str">
        <f>IF(COUNTA(SalCommune[[#This Row],[N°]:[heures annuelles
selon contrat(s)]])=0,"",REVEX!$E$9)</f>
        <v/>
      </c>
      <c r="AH165" s="73" t="str">
        <f>IF(SalCommune[[#This Row],[Allocations fonctions]]="","",IF(ISNA(VLOOKUP(SalCommune[[#This Row],[Allocations fonctions]],DROPDOWN[Dropdown82],1,FALSE))=TRUE,"&lt;-- Veuillez choisir l'allocation parmis la liste déroulante.",""))</f>
        <v/>
      </c>
    </row>
    <row r="166" spans="1:34" x14ac:dyDescent="0.25">
      <c r="A166" s="73" t="str">
        <f>IF(SalCommune[[#This Row],[Statut]]="","",IF(ISNA(VLOOKUP(SalCommune[[#This Row],[Statut]],'Grille communale'!$B$3:$B$5,1,FALSE))=TRUE,"Veuillez choisir le statut parmis la liste déroulante",""))</f>
        <v/>
      </c>
      <c r="B166" s="8"/>
      <c r="C166" s="8"/>
      <c r="D166" s="8"/>
      <c r="E166" s="21"/>
      <c r="F166" s="8"/>
      <c r="G166" s="8"/>
      <c r="H166" s="9"/>
      <c r="I166" s="9"/>
      <c r="J166" s="9"/>
      <c r="K166" s="10"/>
      <c r="L166" s="10"/>
      <c r="M166" s="9"/>
      <c r="N166" s="9"/>
      <c r="O166" s="9"/>
      <c r="P166"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66" s="9"/>
      <c r="R166" s="9"/>
      <c r="S166" s="38"/>
      <c r="T166" s="38"/>
      <c r="U166" s="38"/>
      <c r="V166" s="38"/>
      <c r="W166" s="38"/>
      <c r="X166" s="67" t="str">
        <f>IF(COUNTA(SalCommune[[#This Row],[N°]:[heures annuelles
selon contrat(s)]])=0,"",SalCommune[[#This Row],[Brut]]+SalCommune[[#This Row],[Autres Primes]]+SalCommune[[#This Row],[Part patronale]]-ABS(SalCommune[[#This Row],[Remboursement Mutualité]])-ABS(SalCommune[[#This Row],[Remboursement
Autres]]))</f>
        <v/>
      </c>
      <c r="Y166" s="38"/>
      <c r="Z166"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66" s="8"/>
      <c r="AB166" s="64"/>
      <c r="AC166"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66"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66" s="505"/>
      <c r="AF166" s="187"/>
      <c r="AG166" s="200" t="str">
        <f>IF(COUNTA(SalCommune[[#This Row],[N°]:[heures annuelles
selon contrat(s)]])=0,"",REVEX!$E$9)</f>
        <v/>
      </c>
      <c r="AH166" s="73" t="str">
        <f>IF(SalCommune[[#This Row],[Allocations fonctions]]="","",IF(ISNA(VLOOKUP(SalCommune[[#This Row],[Allocations fonctions]],DROPDOWN[Dropdown82],1,FALSE))=TRUE,"&lt;-- Veuillez choisir l'allocation parmis la liste déroulante.",""))</f>
        <v/>
      </c>
    </row>
    <row r="167" spans="1:34" x14ac:dyDescent="0.25">
      <c r="A167" s="73" t="str">
        <f>IF(SalCommune[[#This Row],[Statut]]="","",IF(ISNA(VLOOKUP(SalCommune[[#This Row],[Statut]],'Grille communale'!$B$3:$B$5,1,FALSE))=TRUE,"Veuillez choisir le statut parmis la liste déroulante",""))</f>
        <v/>
      </c>
      <c r="B167" s="8"/>
      <c r="C167" s="8"/>
      <c r="D167" s="8"/>
      <c r="E167" s="21"/>
      <c r="F167" s="8"/>
      <c r="G167" s="8"/>
      <c r="H167" s="9"/>
      <c r="I167" s="9"/>
      <c r="J167" s="9"/>
      <c r="K167" s="10"/>
      <c r="L167" s="10"/>
      <c r="M167" s="9"/>
      <c r="N167" s="9"/>
      <c r="O167" s="9"/>
      <c r="P167"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67" s="9"/>
      <c r="R167" s="9"/>
      <c r="S167" s="38"/>
      <c r="T167" s="38"/>
      <c r="U167" s="38"/>
      <c r="V167" s="38"/>
      <c r="W167" s="38"/>
      <c r="X167" s="67" t="str">
        <f>IF(COUNTA(SalCommune[[#This Row],[N°]:[heures annuelles
selon contrat(s)]])=0,"",SalCommune[[#This Row],[Brut]]+SalCommune[[#This Row],[Autres Primes]]+SalCommune[[#This Row],[Part patronale]]-ABS(SalCommune[[#This Row],[Remboursement Mutualité]])-ABS(SalCommune[[#This Row],[Remboursement
Autres]]))</f>
        <v/>
      </c>
      <c r="Y167" s="38"/>
      <c r="Z167"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67" s="8"/>
      <c r="AB167" s="64"/>
      <c r="AC167"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67"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67" s="505"/>
      <c r="AF167" s="187"/>
      <c r="AG167" s="200" t="str">
        <f>IF(COUNTA(SalCommune[[#This Row],[N°]:[heures annuelles
selon contrat(s)]])=0,"",REVEX!$E$9)</f>
        <v/>
      </c>
      <c r="AH167" s="73" t="str">
        <f>IF(SalCommune[[#This Row],[Allocations fonctions]]="","",IF(ISNA(VLOOKUP(SalCommune[[#This Row],[Allocations fonctions]],DROPDOWN[Dropdown82],1,FALSE))=TRUE,"&lt;-- Veuillez choisir l'allocation parmis la liste déroulante.",""))</f>
        <v/>
      </c>
    </row>
    <row r="168" spans="1:34" x14ac:dyDescent="0.25">
      <c r="A168" s="73" t="str">
        <f>IF(SalCommune[[#This Row],[Statut]]="","",IF(ISNA(VLOOKUP(SalCommune[[#This Row],[Statut]],'Grille communale'!$B$3:$B$5,1,FALSE))=TRUE,"Veuillez choisir le statut parmis la liste déroulante",""))</f>
        <v/>
      </c>
      <c r="B168" s="8"/>
      <c r="C168" s="8"/>
      <c r="D168" s="8"/>
      <c r="E168" s="21"/>
      <c r="F168" s="8"/>
      <c r="G168" s="8"/>
      <c r="H168" s="9"/>
      <c r="I168" s="9"/>
      <c r="J168" s="9"/>
      <c r="K168" s="10"/>
      <c r="L168" s="10"/>
      <c r="M168" s="9"/>
      <c r="N168" s="9"/>
      <c r="O168" s="9"/>
      <c r="P168"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68" s="9"/>
      <c r="R168" s="9"/>
      <c r="S168" s="38"/>
      <c r="T168" s="38"/>
      <c r="U168" s="38"/>
      <c r="V168" s="38"/>
      <c r="W168" s="38"/>
      <c r="X168" s="67" t="str">
        <f>IF(COUNTA(SalCommune[[#This Row],[N°]:[heures annuelles
selon contrat(s)]])=0,"",SalCommune[[#This Row],[Brut]]+SalCommune[[#This Row],[Autres Primes]]+SalCommune[[#This Row],[Part patronale]]-ABS(SalCommune[[#This Row],[Remboursement Mutualité]])-ABS(SalCommune[[#This Row],[Remboursement
Autres]]))</f>
        <v/>
      </c>
      <c r="Y168" s="38"/>
      <c r="Z168"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68" s="8"/>
      <c r="AB168" s="64"/>
      <c r="AC168"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68"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68" s="505"/>
      <c r="AF168" s="187"/>
      <c r="AG168" s="200" t="str">
        <f>IF(COUNTA(SalCommune[[#This Row],[N°]:[heures annuelles
selon contrat(s)]])=0,"",REVEX!$E$9)</f>
        <v/>
      </c>
      <c r="AH168" s="73" t="str">
        <f>IF(SalCommune[[#This Row],[Allocations fonctions]]="","",IF(ISNA(VLOOKUP(SalCommune[[#This Row],[Allocations fonctions]],DROPDOWN[Dropdown82],1,FALSE))=TRUE,"&lt;-- Veuillez choisir l'allocation parmis la liste déroulante.",""))</f>
        <v/>
      </c>
    </row>
    <row r="169" spans="1:34" x14ac:dyDescent="0.25">
      <c r="A169" s="73" t="str">
        <f>IF(SalCommune[[#This Row],[Statut]]="","",IF(ISNA(VLOOKUP(SalCommune[[#This Row],[Statut]],'Grille communale'!$B$3:$B$5,1,FALSE))=TRUE,"Veuillez choisir le statut parmis la liste déroulante",""))</f>
        <v/>
      </c>
      <c r="B169" s="8"/>
      <c r="C169" s="8"/>
      <c r="D169" s="8"/>
      <c r="E169" s="21"/>
      <c r="F169" s="8"/>
      <c r="G169" s="8"/>
      <c r="H169" s="9"/>
      <c r="I169" s="9"/>
      <c r="J169" s="9"/>
      <c r="K169" s="10"/>
      <c r="L169" s="10"/>
      <c r="M169" s="9"/>
      <c r="N169" s="9"/>
      <c r="O169" s="9"/>
      <c r="P169"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69" s="9"/>
      <c r="R169" s="9"/>
      <c r="S169" s="38"/>
      <c r="T169" s="38"/>
      <c r="U169" s="38"/>
      <c r="V169" s="38"/>
      <c r="W169" s="38"/>
      <c r="X169" s="67" t="str">
        <f>IF(COUNTA(SalCommune[[#This Row],[N°]:[heures annuelles
selon contrat(s)]])=0,"",SalCommune[[#This Row],[Brut]]+SalCommune[[#This Row],[Autres Primes]]+SalCommune[[#This Row],[Part patronale]]-ABS(SalCommune[[#This Row],[Remboursement Mutualité]])-ABS(SalCommune[[#This Row],[Remboursement
Autres]]))</f>
        <v/>
      </c>
      <c r="Y169" s="38"/>
      <c r="Z169"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69" s="8"/>
      <c r="AB169" s="64"/>
      <c r="AC169"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69"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69" s="505"/>
      <c r="AF169" s="187"/>
      <c r="AG169" s="200" t="str">
        <f>IF(COUNTA(SalCommune[[#This Row],[N°]:[heures annuelles
selon contrat(s)]])=0,"",REVEX!$E$9)</f>
        <v/>
      </c>
      <c r="AH169" s="73" t="str">
        <f>IF(SalCommune[[#This Row],[Allocations fonctions]]="","",IF(ISNA(VLOOKUP(SalCommune[[#This Row],[Allocations fonctions]],DROPDOWN[Dropdown82],1,FALSE))=TRUE,"&lt;-- Veuillez choisir l'allocation parmis la liste déroulante.",""))</f>
        <v/>
      </c>
    </row>
    <row r="170" spans="1:34" x14ac:dyDescent="0.25">
      <c r="A170" s="73" t="str">
        <f>IF(SalCommune[[#This Row],[Statut]]="","",IF(ISNA(VLOOKUP(SalCommune[[#This Row],[Statut]],'Grille communale'!$B$3:$B$5,1,FALSE))=TRUE,"Veuillez choisir le statut parmis la liste déroulante",""))</f>
        <v/>
      </c>
      <c r="B170" s="8"/>
      <c r="C170" s="8"/>
      <c r="D170" s="8"/>
      <c r="E170" s="21"/>
      <c r="F170" s="8"/>
      <c r="G170" s="8"/>
      <c r="H170" s="9"/>
      <c r="I170" s="9"/>
      <c r="J170" s="9"/>
      <c r="K170" s="10"/>
      <c r="L170" s="10"/>
      <c r="M170" s="9"/>
      <c r="N170" s="9"/>
      <c r="O170" s="9"/>
      <c r="P170"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70" s="9"/>
      <c r="R170" s="9"/>
      <c r="S170" s="38"/>
      <c r="T170" s="38"/>
      <c r="U170" s="38"/>
      <c r="V170" s="38"/>
      <c r="W170" s="38"/>
      <c r="X170" s="67" t="str">
        <f>IF(COUNTA(SalCommune[[#This Row],[N°]:[heures annuelles
selon contrat(s)]])=0,"",SalCommune[[#This Row],[Brut]]+SalCommune[[#This Row],[Autres Primes]]+SalCommune[[#This Row],[Part patronale]]-ABS(SalCommune[[#This Row],[Remboursement Mutualité]])-ABS(SalCommune[[#This Row],[Remboursement
Autres]]))</f>
        <v/>
      </c>
      <c r="Y170" s="38"/>
      <c r="Z170"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70" s="8"/>
      <c r="AB170" s="64"/>
      <c r="AC170"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70"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70" s="505"/>
      <c r="AF170" s="187"/>
      <c r="AG170" s="200" t="str">
        <f>IF(COUNTA(SalCommune[[#This Row],[N°]:[heures annuelles
selon contrat(s)]])=0,"",REVEX!$E$9)</f>
        <v/>
      </c>
      <c r="AH170" s="73" t="str">
        <f>IF(SalCommune[[#This Row],[Allocations fonctions]]="","",IF(ISNA(VLOOKUP(SalCommune[[#This Row],[Allocations fonctions]],DROPDOWN[Dropdown82],1,FALSE))=TRUE,"&lt;-- Veuillez choisir l'allocation parmis la liste déroulante.",""))</f>
        <v/>
      </c>
    </row>
    <row r="171" spans="1:34" x14ac:dyDescent="0.25">
      <c r="A171" s="73" t="str">
        <f>IF(SalCommune[[#This Row],[Statut]]="","",IF(ISNA(VLOOKUP(SalCommune[[#This Row],[Statut]],'Grille communale'!$B$3:$B$5,1,FALSE))=TRUE,"Veuillez choisir le statut parmis la liste déroulante",""))</f>
        <v/>
      </c>
      <c r="B171" s="8"/>
      <c r="C171" s="8"/>
      <c r="D171" s="8"/>
      <c r="E171" s="21"/>
      <c r="F171" s="8"/>
      <c r="G171" s="8"/>
      <c r="H171" s="9"/>
      <c r="I171" s="9"/>
      <c r="J171" s="9"/>
      <c r="K171" s="10"/>
      <c r="L171" s="10"/>
      <c r="M171" s="9"/>
      <c r="N171" s="9"/>
      <c r="O171" s="9"/>
      <c r="P171"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71" s="9"/>
      <c r="R171" s="9"/>
      <c r="S171" s="38"/>
      <c r="T171" s="38"/>
      <c r="U171" s="38"/>
      <c r="V171" s="38"/>
      <c r="W171" s="38"/>
      <c r="X171" s="67" t="str">
        <f>IF(COUNTA(SalCommune[[#This Row],[N°]:[heures annuelles
selon contrat(s)]])=0,"",SalCommune[[#This Row],[Brut]]+SalCommune[[#This Row],[Autres Primes]]+SalCommune[[#This Row],[Part patronale]]-ABS(SalCommune[[#This Row],[Remboursement Mutualité]])-ABS(SalCommune[[#This Row],[Remboursement
Autres]]))</f>
        <v/>
      </c>
      <c r="Y171" s="38"/>
      <c r="Z171"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71" s="8"/>
      <c r="AB171" s="64"/>
      <c r="AC171"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71"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71" s="505"/>
      <c r="AF171" s="187"/>
      <c r="AG171" s="200" t="str">
        <f>IF(COUNTA(SalCommune[[#This Row],[N°]:[heures annuelles
selon contrat(s)]])=0,"",REVEX!$E$9)</f>
        <v/>
      </c>
      <c r="AH171" s="73" t="str">
        <f>IF(SalCommune[[#This Row],[Allocations fonctions]]="","",IF(ISNA(VLOOKUP(SalCommune[[#This Row],[Allocations fonctions]],DROPDOWN[Dropdown82],1,FALSE))=TRUE,"&lt;-- Veuillez choisir l'allocation parmis la liste déroulante.",""))</f>
        <v/>
      </c>
    </row>
    <row r="172" spans="1:34" x14ac:dyDescent="0.25">
      <c r="A172" s="73" t="str">
        <f>IF(SalCommune[[#This Row],[Statut]]="","",IF(ISNA(VLOOKUP(SalCommune[[#This Row],[Statut]],'Grille communale'!$B$3:$B$5,1,FALSE))=TRUE,"Veuillez choisir le statut parmis la liste déroulante",""))</f>
        <v/>
      </c>
      <c r="B172" s="8"/>
      <c r="C172" s="8"/>
      <c r="D172" s="8"/>
      <c r="E172" s="21"/>
      <c r="F172" s="8"/>
      <c r="G172" s="8"/>
      <c r="H172" s="9"/>
      <c r="I172" s="9"/>
      <c r="J172" s="9"/>
      <c r="K172" s="10"/>
      <c r="L172" s="10"/>
      <c r="M172" s="9"/>
      <c r="N172" s="9"/>
      <c r="O172" s="9"/>
      <c r="P172"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72" s="9"/>
      <c r="R172" s="9"/>
      <c r="S172" s="38"/>
      <c r="T172" s="38"/>
      <c r="U172" s="38"/>
      <c r="V172" s="38"/>
      <c r="W172" s="38"/>
      <c r="X172" s="67" t="str">
        <f>IF(COUNTA(SalCommune[[#This Row],[N°]:[heures annuelles
selon contrat(s)]])=0,"",SalCommune[[#This Row],[Brut]]+SalCommune[[#This Row],[Autres Primes]]+SalCommune[[#This Row],[Part patronale]]-ABS(SalCommune[[#This Row],[Remboursement Mutualité]])-ABS(SalCommune[[#This Row],[Remboursement
Autres]]))</f>
        <v/>
      </c>
      <c r="Y172" s="38"/>
      <c r="Z172"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72" s="8"/>
      <c r="AB172" s="64"/>
      <c r="AC172"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72"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72" s="505"/>
      <c r="AF172" s="187"/>
      <c r="AG172" s="200" t="str">
        <f>IF(COUNTA(SalCommune[[#This Row],[N°]:[heures annuelles
selon contrat(s)]])=0,"",REVEX!$E$9)</f>
        <v/>
      </c>
      <c r="AH172" s="73" t="str">
        <f>IF(SalCommune[[#This Row],[Allocations fonctions]]="","",IF(ISNA(VLOOKUP(SalCommune[[#This Row],[Allocations fonctions]],DROPDOWN[Dropdown82],1,FALSE))=TRUE,"&lt;-- Veuillez choisir l'allocation parmis la liste déroulante.",""))</f>
        <v/>
      </c>
    </row>
    <row r="173" spans="1:34" x14ac:dyDescent="0.25">
      <c r="A173" s="73" t="str">
        <f>IF(SalCommune[[#This Row],[Statut]]="","",IF(ISNA(VLOOKUP(SalCommune[[#This Row],[Statut]],'Grille communale'!$B$3:$B$5,1,FALSE))=TRUE,"Veuillez choisir le statut parmis la liste déroulante",""))</f>
        <v/>
      </c>
      <c r="B173" s="8"/>
      <c r="C173" s="8"/>
      <c r="D173" s="8"/>
      <c r="E173" s="21"/>
      <c r="F173" s="8"/>
      <c r="G173" s="8"/>
      <c r="H173" s="9"/>
      <c r="I173" s="9"/>
      <c r="J173" s="9"/>
      <c r="K173" s="10"/>
      <c r="L173" s="10"/>
      <c r="M173" s="9"/>
      <c r="N173" s="9"/>
      <c r="O173" s="9"/>
      <c r="P173"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73" s="9"/>
      <c r="R173" s="9"/>
      <c r="S173" s="38"/>
      <c r="T173" s="38"/>
      <c r="U173" s="38"/>
      <c r="V173" s="38"/>
      <c r="W173" s="38"/>
      <c r="X173" s="67" t="str">
        <f>IF(COUNTA(SalCommune[[#This Row],[N°]:[heures annuelles
selon contrat(s)]])=0,"",SalCommune[[#This Row],[Brut]]+SalCommune[[#This Row],[Autres Primes]]+SalCommune[[#This Row],[Part patronale]]-ABS(SalCommune[[#This Row],[Remboursement Mutualité]])-ABS(SalCommune[[#This Row],[Remboursement
Autres]]))</f>
        <v/>
      </c>
      <c r="Y173" s="38"/>
      <c r="Z173"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73" s="8"/>
      <c r="AB173" s="64"/>
      <c r="AC173"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73"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73" s="505"/>
      <c r="AF173" s="187"/>
      <c r="AG173" s="200" t="str">
        <f>IF(COUNTA(SalCommune[[#This Row],[N°]:[heures annuelles
selon contrat(s)]])=0,"",REVEX!$E$9)</f>
        <v/>
      </c>
      <c r="AH173" s="73" t="str">
        <f>IF(SalCommune[[#This Row],[Allocations fonctions]]="","",IF(ISNA(VLOOKUP(SalCommune[[#This Row],[Allocations fonctions]],DROPDOWN[Dropdown82],1,FALSE))=TRUE,"&lt;-- Veuillez choisir l'allocation parmis la liste déroulante.",""))</f>
        <v/>
      </c>
    </row>
    <row r="174" spans="1:34" x14ac:dyDescent="0.25">
      <c r="A174" s="73" t="str">
        <f>IF(SalCommune[[#This Row],[Statut]]="","",IF(ISNA(VLOOKUP(SalCommune[[#This Row],[Statut]],'Grille communale'!$B$3:$B$5,1,FALSE))=TRUE,"Veuillez choisir le statut parmis la liste déroulante",""))</f>
        <v/>
      </c>
      <c r="B174" s="8"/>
      <c r="C174" s="8"/>
      <c r="D174" s="8"/>
      <c r="E174" s="21"/>
      <c r="F174" s="8"/>
      <c r="G174" s="8"/>
      <c r="H174" s="9"/>
      <c r="I174" s="9"/>
      <c r="J174" s="9"/>
      <c r="K174" s="10"/>
      <c r="L174" s="10"/>
      <c r="M174" s="9"/>
      <c r="N174" s="9"/>
      <c r="O174" s="9"/>
      <c r="P174"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74" s="9"/>
      <c r="R174" s="9"/>
      <c r="S174" s="38"/>
      <c r="T174" s="38"/>
      <c r="U174" s="38"/>
      <c r="V174" s="38"/>
      <c r="W174" s="38"/>
      <c r="X174" s="67" t="str">
        <f>IF(COUNTA(SalCommune[[#This Row],[N°]:[heures annuelles
selon contrat(s)]])=0,"",SalCommune[[#This Row],[Brut]]+SalCommune[[#This Row],[Autres Primes]]+SalCommune[[#This Row],[Part patronale]]-ABS(SalCommune[[#This Row],[Remboursement Mutualité]])-ABS(SalCommune[[#This Row],[Remboursement
Autres]]))</f>
        <v/>
      </c>
      <c r="Y174" s="38"/>
      <c r="Z174"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74" s="8"/>
      <c r="AB174" s="64"/>
      <c r="AC174"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74"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74" s="505"/>
      <c r="AF174" s="187"/>
      <c r="AG174" s="200" t="str">
        <f>IF(COUNTA(SalCommune[[#This Row],[N°]:[heures annuelles
selon contrat(s)]])=0,"",REVEX!$E$9)</f>
        <v/>
      </c>
      <c r="AH174" s="73" t="str">
        <f>IF(SalCommune[[#This Row],[Allocations fonctions]]="","",IF(ISNA(VLOOKUP(SalCommune[[#This Row],[Allocations fonctions]],DROPDOWN[Dropdown82],1,FALSE))=TRUE,"&lt;-- Veuillez choisir l'allocation parmis la liste déroulante.",""))</f>
        <v/>
      </c>
    </row>
    <row r="175" spans="1:34" x14ac:dyDescent="0.25">
      <c r="A175" s="73" t="str">
        <f>IF(SalCommune[[#This Row],[Statut]]="","",IF(ISNA(VLOOKUP(SalCommune[[#This Row],[Statut]],'Grille communale'!$B$3:$B$5,1,FALSE))=TRUE,"Veuillez choisir le statut parmis la liste déroulante",""))</f>
        <v/>
      </c>
      <c r="B175" s="8"/>
      <c r="C175" s="8"/>
      <c r="D175" s="8"/>
      <c r="E175" s="21"/>
      <c r="F175" s="8"/>
      <c r="G175" s="8"/>
      <c r="H175" s="9"/>
      <c r="I175" s="9"/>
      <c r="J175" s="9"/>
      <c r="K175" s="10"/>
      <c r="L175" s="10"/>
      <c r="M175" s="9"/>
      <c r="N175" s="9"/>
      <c r="O175" s="9"/>
      <c r="P175"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75" s="9"/>
      <c r="R175" s="9"/>
      <c r="S175" s="38"/>
      <c r="T175" s="38"/>
      <c r="U175" s="38"/>
      <c r="V175" s="38"/>
      <c r="W175" s="38"/>
      <c r="X175" s="67" t="str">
        <f>IF(COUNTA(SalCommune[[#This Row],[N°]:[heures annuelles
selon contrat(s)]])=0,"",SalCommune[[#This Row],[Brut]]+SalCommune[[#This Row],[Autres Primes]]+SalCommune[[#This Row],[Part patronale]]-ABS(SalCommune[[#This Row],[Remboursement Mutualité]])-ABS(SalCommune[[#This Row],[Remboursement
Autres]]))</f>
        <v/>
      </c>
      <c r="Y175" s="38"/>
      <c r="Z175"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75" s="8"/>
      <c r="AB175" s="64"/>
      <c r="AC175"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75"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75" s="505"/>
      <c r="AF175" s="187"/>
      <c r="AG175" s="200" t="str">
        <f>IF(COUNTA(SalCommune[[#This Row],[N°]:[heures annuelles
selon contrat(s)]])=0,"",REVEX!$E$9)</f>
        <v/>
      </c>
      <c r="AH175" s="73" t="str">
        <f>IF(SalCommune[[#This Row],[Allocations fonctions]]="","",IF(ISNA(VLOOKUP(SalCommune[[#This Row],[Allocations fonctions]],DROPDOWN[Dropdown82],1,FALSE))=TRUE,"&lt;-- Veuillez choisir l'allocation parmis la liste déroulante.",""))</f>
        <v/>
      </c>
    </row>
    <row r="176" spans="1:34" x14ac:dyDescent="0.25">
      <c r="A176" s="73" t="str">
        <f>IF(SalCommune[[#This Row],[Statut]]="","",IF(ISNA(VLOOKUP(SalCommune[[#This Row],[Statut]],'Grille communale'!$B$3:$B$5,1,FALSE))=TRUE,"Veuillez choisir le statut parmis la liste déroulante",""))</f>
        <v/>
      </c>
      <c r="B176" s="8"/>
      <c r="C176" s="8"/>
      <c r="D176" s="8"/>
      <c r="E176" s="21"/>
      <c r="F176" s="8"/>
      <c r="G176" s="8"/>
      <c r="H176" s="9"/>
      <c r="I176" s="9"/>
      <c r="J176" s="9"/>
      <c r="K176" s="10"/>
      <c r="L176" s="10"/>
      <c r="M176" s="9"/>
      <c r="N176" s="9"/>
      <c r="O176" s="9"/>
      <c r="P176"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76" s="9"/>
      <c r="R176" s="9"/>
      <c r="S176" s="38"/>
      <c r="T176" s="38"/>
      <c r="U176" s="38"/>
      <c r="V176" s="38"/>
      <c r="W176" s="38"/>
      <c r="X176" s="67" t="str">
        <f>IF(COUNTA(SalCommune[[#This Row],[N°]:[heures annuelles
selon contrat(s)]])=0,"",SalCommune[[#This Row],[Brut]]+SalCommune[[#This Row],[Autres Primes]]+SalCommune[[#This Row],[Part patronale]]-ABS(SalCommune[[#This Row],[Remboursement Mutualité]])-ABS(SalCommune[[#This Row],[Remboursement
Autres]]))</f>
        <v/>
      </c>
      <c r="Y176" s="38"/>
      <c r="Z176"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76" s="8"/>
      <c r="AB176" s="64"/>
      <c r="AC176"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76"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76" s="505"/>
      <c r="AF176" s="187"/>
      <c r="AG176" s="200" t="str">
        <f>IF(COUNTA(SalCommune[[#This Row],[N°]:[heures annuelles
selon contrat(s)]])=0,"",REVEX!$E$9)</f>
        <v/>
      </c>
      <c r="AH176" s="73" t="str">
        <f>IF(SalCommune[[#This Row],[Allocations fonctions]]="","",IF(ISNA(VLOOKUP(SalCommune[[#This Row],[Allocations fonctions]],DROPDOWN[Dropdown82],1,FALSE))=TRUE,"&lt;-- Veuillez choisir l'allocation parmis la liste déroulante.",""))</f>
        <v/>
      </c>
    </row>
    <row r="177" spans="1:34" x14ac:dyDescent="0.25">
      <c r="A177" s="73" t="str">
        <f>IF(SalCommune[[#This Row],[Statut]]="","",IF(ISNA(VLOOKUP(SalCommune[[#This Row],[Statut]],'Grille communale'!$B$3:$B$5,1,FALSE))=TRUE,"Veuillez choisir le statut parmis la liste déroulante",""))</f>
        <v/>
      </c>
      <c r="B177" s="8"/>
      <c r="C177" s="8"/>
      <c r="D177" s="8"/>
      <c r="E177" s="21"/>
      <c r="F177" s="8"/>
      <c r="G177" s="8"/>
      <c r="H177" s="9"/>
      <c r="I177" s="9"/>
      <c r="J177" s="9"/>
      <c r="K177" s="10"/>
      <c r="L177" s="10"/>
      <c r="M177" s="9"/>
      <c r="N177" s="9"/>
      <c r="O177" s="9"/>
      <c r="P177"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77" s="9"/>
      <c r="R177" s="9"/>
      <c r="S177" s="38"/>
      <c r="T177" s="38"/>
      <c r="U177" s="38"/>
      <c r="V177" s="38"/>
      <c r="W177" s="38"/>
      <c r="X177" s="67" t="str">
        <f>IF(COUNTA(SalCommune[[#This Row],[N°]:[heures annuelles
selon contrat(s)]])=0,"",SalCommune[[#This Row],[Brut]]+SalCommune[[#This Row],[Autres Primes]]+SalCommune[[#This Row],[Part patronale]]-ABS(SalCommune[[#This Row],[Remboursement Mutualité]])-ABS(SalCommune[[#This Row],[Remboursement
Autres]]))</f>
        <v/>
      </c>
      <c r="Y177" s="38"/>
      <c r="Z177"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77" s="8"/>
      <c r="AB177" s="64"/>
      <c r="AC177"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77"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77" s="505"/>
      <c r="AF177" s="187"/>
      <c r="AG177" s="200" t="str">
        <f>IF(COUNTA(SalCommune[[#This Row],[N°]:[heures annuelles
selon contrat(s)]])=0,"",REVEX!$E$9)</f>
        <v/>
      </c>
      <c r="AH177" s="73" t="str">
        <f>IF(SalCommune[[#This Row],[Allocations fonctions]]="","",IF(ISNA(VLOOKUP(SalCommune[[#This Row],[Allocations fonctions]],DROPDOWN[Dropdown82],1,FALSE))=TRUE,"&lt;-- Veuillez choisir l'allocation parmis la liste déroulante.",""))</f>
        <v/>
      </c>
    </row>
    <row r="178" spans="1:34" x14ac:dyDescent="0.25">
      <c r="A178" s="73" t="str">
        <f>IF(SalCommune[[#This Row],[Statut]]="","",IF(ISNA(VLOOKUP(SalCommune[[#This Row],[Statut]],'Grille communale'!$B$3:$B$5,1,FALSE))=TRUE,"Veuillez choisir le statut parmis la liste déroulante",""))</f>
        <v/>
      </c>
      <c r="B178" s="8"/>
      <c r="C178" s="8"/>
      <c r="D178" s="8"/>
      <c r="E178" s="21"/>
      <c r="F178" s="8"/>
      <c r="G178" s="8"/>
      <c r="H178" s="9"/>
      <c r="I178" s="9"/>
      <c r="J178" s="9"/>
      <c r="K178" s="10"/>
      <c r="L178" s="10"/>
      <c r="M178" s="9"/>
      <c r="N178" s="9"/>
      <c r="O178" s="9"/>
      <c r="P178"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78" s="9"/>
      <c r="R178" s="9"/>
      <c r="S178" s="38"/>
      <c r="T178" s="38"/>
      <c r="U178" s="38"/>
      <c r="V178" s="38"/>
      <c r="W178" s="38"/>
      <c r="X178" s="67" t="str">
        <f>IF(COUNTA(SalCommune[[#This Row],[N°]:[heures annuelles
selon contrat(s)]])=0,"",SalCommune[[#This Row],[Brut]]+SalCommune[[#This Row],[Autres Primes]]+SalCommune[[#This Row],[Part patronale]]-ABS(SalCommune[[#This Row],[Remboursement Mutualité]])-ABS(SalCommune[[#This Row],[Remboursement
Autres]]))</f>
        <v/>
      </c>
      <c r="Y178" s="38"/>
      <c r="Z178"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78" s="8"/>
      <c r="AB178" s="64"/>
      <c r="AC178"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78"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78" s="505"/>
      <c r="AF178" s="187"/>
      <c r="AG178" s="200" t="str">
        <f>IF(COUNTA(SalCommune[[#This Row],[N°]:[heures annuelles
selon contrat(s)]])=0,"",REVEX!$E$9)</f>
        <v/>
      </c>
      <c r="AH178" s="73" t="str">
        <f>IF(SalCommune[[#This Row],[Allocations fonctions]]="","",IF(ISNA(VLOOKUP(SalCommune[[#This Row],[Allocations fonctions]],DROPDOWN[Dropdown82],1,FALSE))=TRUE,"&lt;-- Veuillez choisir l'allocation parmis la liste déroulante.",""))</f>
        <v/>
      </c>
    </row>
    <row r="179" spans="1:34" x14ac:dyDescent="0.25">
      <c r="A179" s="73" t="str">
        <f>IF(SalCommune[[#This Row],[Statut]]="","",IF(ISNA(VLOOKUP(SalCommune[[#This Row],[Statut]],'Grille communale'!$B$3:$B$5,1,FALSE))=TRUE,"Veuillez choisir le statut parmis la liste déroulante",""))</f>
        <v/>
      </c>
      <c r="B179" s="8"/>
      <c r="C179" s="8"/>
      <c r="D179" s="8"/>
      <c r="E179" s="21"/>
      <c r="F179" s="8"/>
      <c r="G179" s="8"/>
      <c r="H179" s="9"/>
      <c r="I179" s="9"/>
      <c r="J179" s="9"/>
      <c r="K179" s="10"/>
      <c r="L179" s="10"/>
      <c r="M179" s="9"/>
      <c r="N179" s="9"/>
      <c r="O179" s="9"/>
      <c r="P179"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79" s="9"/>
      <c r="R179" s="9"/>
      <c r="S179" s="38"/>
      <c r="T179" s="38"/>
      <c r="U179" s="38"/>
      <c r="V179" s="38"/>
      <c r="W179" s="38"/>
      <c r="X179" s="67" t="str">
        <f>IF(COUNTA(SalCommune[[#This Row],[N°]:[heures annuelles
selon contrat(s)]])=0,"",SalCommune[[#This Row],[Brut]]+SalCommune[[#This Row],[Autres Primes]]+SalCommune[[#This Row],[Part patronale]]-ABS(SalCommune[[#This Row],[Remboursement Mutualité]])-ABS(SalCommune[[#This Row],[Remboursement
Autres]]))</f>
        <v/>
      </c>
      <c r="Y179" s="38"/>
      <c r="Z179"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79" s="8"/>
      <c r="AB179" s="64"/>
      <c r="AC179"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79"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79" s="505"/>
      <c r="AF179" s="187"/>
      <c r="AG179" s="200" t="str">
        <f>IF(COUNTA(SalCommune[[#This Row],[N°]:[heures annuelles
selon contrat(s)]])=0,"",REVEX!$E$9)</f>
        <v/>
      </c>
      <c r="AH179" s="73" t="str">
        <f>IF(SalCommune[[#This Row],[Allocations fonctions]]="","",IF(ISNA(VLOOKUP(SalCommune[[#This Row],[Allocations fonctions]],DROPDOWN[Dropdown82],1,FALSE))=TRUE,"&lt;-- Veuillez choisir l'allocation parmis la liste déroulante.",""))</f>
        <v/>
      </c>
    </row>
    <row r="180" spans="1:34" x14ac:dyDescent="0.25">
      <c r="A180" s="73" t="str">
        <f>IF(SalCommune[[#This Row],[Statut]]="","",IF(ISNA(VLOOKUP(SalCommune[[#This Row],[Statut]],'Grille communale'!$B$3:$B$5,1,FALSE))=TRUE,"Veuillez choisir le statut parmis la liste déroulante",""))</f>
        <v/>
      </c>
      <c r="B180" s="8"/>
      <c r="C180" s="8"/>
      <c r="D180" s="8"/>
      <c r="E180" s="21"/>
      <c r="F180" s="8"/>
      <c r="G180" s="8"/>
      <c r="H180" s="9"/>
      <c r="I180" s="9"/>
      <c r="J180" s="9"/>
      <c r="K180" s="10"/>
      <c r="L180" s="10"/>
      <c r="M180" s="9"/>
      <c r="N180" s="9"/>
      <c r="O180" s="9"/>
      <c r="P180"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80" s="9"/>
      <c r="R180" s="9"/>
      <c r="S180" s="38"/>
      <c r="T180" s="38"/>
      <c r="U180" s="38"/>
      <c r="V180" s="38"/>
      <c r="W180" s="38"/>
      <c r="X180" s="67" t="str">
        <f>IF(COUNTA(SalCommune[[#This Row],[N°]:[heures annuelles
selon contrat(s)]])=0,"",SalCommune[[#This Row],[Brut]]+SalCommune[[#This Row],[Autres Primes]]+SalCommune[[#This Row],[Part patronale]]-ABS(SalCommune[[#This Row],[Remboursement Mutualité]])-ABS(SalCommune[[#This Row],[Remboursement
Autres]]))</f>
        <v/>
      </c>
      <c r="Y180" s="38"/>
      <c r="Z180"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80" s="8"/>
      <c r="AB180" s="64"/>
      <c r="AC180"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80"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80" s="505"/>
      <c r="AF180" s="187"/>
      <c r="AG180" s="200" t="str">
        <f>IF(COUNTA(SalCommune[[#This Row],[N°]:[heures annuelles
selon contrat(s)]])=0,"",REVEX!$E$9)</f>
        <v/>
      </c>
      <c r="AH180" s="73" t="str">
        <f>IF(SalCommune[[#This Row],[Allocations fonctions]]="","",IF(ISNA(VLOOKUP(SalCommune[[#This Row],[Allocations fonctions]],DROPDOWN[Dropdown82],1,FALSE))=TRUE,"&lt;-- Veuillez choisir l'allocation parmis la liste déroulante.",""))</f>
        <v/>
      </c>
    </row>
    <row r="181" spans="1:34" x14ac:dyDescent="0.25">
      <c r="A181" s="73" t="str">
        <f>IF(SalCommune[[#This Row],[Statut]]="","",IF(ISNA(VLOOKUP(SalCommune[[#This Row],[Statut]],'Grille communale'!$B$3:$B$5,1,FALSE))=TRUE,"Veuillez choisir le statut parmis la liste déroulante",""))</f>
        <v/>
      </c>
      <c r="B181" s="8"/>
      <c r="C181" s="8"/>
      <c r="D181" s="8"/>
      <c r="E181" s="21"/>
      <c r="F181" s="8"/>
      <c r="G181" s="8"/>
      <c r="H181" s="9"/>
      <c r="I181" s="9"/>
      <c r="J181" s="9"/>
      <c r="K181" s="10"/>
      <c r="L181" s="10"/>
      <c r="M181" s="9"/>
      <c r="N181" s="9"/>
      <c r="O181" s="9"/>
      <c r="P181"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81" s="9"/>
      <c r="R181" s="9"/>
      <c r="S181" s="38"/>
      <c r="T181" s="38"/>
      <c r="U181" s="38"/>
      <c r="V181" s="38"/>
      <c r="W181" s="38"/>
      <c r="X181" s="67" t="str">
        <f>IF(COUNTA(SalCommune[[#This Row],[N°]:[heures annuelles
selon contrat(s)]])=0,"",SalCommune[[#This Row],[Brut]]+SalCommune[[#This Row],[Autres Primes]]+SalCommune[[#This Row],[Part patronale]]-ABS(SalCommune[[#This Row],[Remboursement Mutualité]])-ABS(SalCommune[[#This Row],[Remboursement
Autres]]))</f>
        <v/>
      </c>
      <c r="Y181" s="38"/>
      <c r="Z181"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81" s="8"/>
      <c r="AB181" s="64"/>
      <c r="AC181"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81"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81" s="505"/>
      <c r="AF181" s="187"/>
      <c r="AG181" s="200" t="str">
        <f>IF(COUNTA(SalCommune[[#This Row],[N°]:[heures annuelles
selon contrat(s)]])=0,"",REVEX!$E$9)</f>
        <v/>
      </c>
      <c r="AH181" s="73" t="str">
        <f>IF(SalCommune[[#This Row],[Allocations fonctions]]="","",IF(ISNA(VLOOKUP(SalCommune[[#This Row],[Allocations fonctions]],DROPDOWN[Dropdown82],1,FALSE))=TRUE,"&lt;-- Veuillez choisir l'allocation parmis la liste déroulante.",""))</f>
        <v/>
      </c>
    </row>
    <row r="182" spans="1:34" x14ac:dyDescent="0.25">
      <c r="A182" s="73" t="str">
        <f>IF(SalCommune[[#This Row],[Statut]]="","",IF(ISNA(VLOOKUP(SalCommune[[#This Row],[Statut]],'Grille communale'!$B$3:$B$5,1,FALSE))=TRUE,"Veuillez choisir le statut parmis la liste déroulante",""))</f>
        <v/>
      </c>
      <c r="B182" s="8"/>
      <c r="C182" s="8"/>
      <c r="D182" s="8"/>
      <c r="E182" s="21"/>
      <c r="F182" s="8"/>
      <c r="G182" s="8"/>
      <c r="H182" s="9"/>
      <c r="I182" s="9"/>
      <c r="J182" s="9"/>
      <c r="K182" s="10"/>
      <c r="L182" s="10"/>
      <c r="M182" s="9"/>
      <c r="N182" s="9"/>
      <c r="O182" s="9"/>
      <c r="P182"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82" s="9"/>
      <c r="R182" s="9"/>
      <c r="S182" s="38"/>
      <c r="T182" s="38"/>
      <c r="U182" s="38"/>
      <c r="V182" s="38"/>
      <c r="W182" s="38"/>
      <c r="X182" s="67" t="str">
        <f>IF(COUNTA(SalCommune[[#This Row],[N°]:[heures annuelles
selon contrat(s)]])=0,"",SalCommune[[#This Row],[Brut]]+SalCommune[[#This Row],[Autres Primes]]+SalCommune[[#This Row],[Part patronale]]-ABS(SalCommune[[#This Row],[Remboursement Mutualité]])-ABS(SalCommune[[#This Row],[Remboursement
Autres]]))</f>
        <v/>
      </c>
      <c r="Y182" s="38"/>
      <c r="Z182"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82" s="8"/>
      <c r="AB182" s="64"/>
      <c r="AC182"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82"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82" s="505"/>
      <c r="AF182" s="187"/>
      <c r="AG182" s="200" t="str">
        <f>IF(COUNTA(SalCommune[[#This Row],[N°]:[heures annuelles
selon contrat(s)]])=0,"",REVEX!$E$9)</f>
        <v/>
      </c>
      <c r="AH182" s="73" t="str">
        <f>IF(SalCommune[[#This Row],[Allocations fonctions]]="","",IF(ISNA(VLOOKUP(SalCommune[[#This Row],[Allocations fonctions]],DROPDOWN[Dropdown82],1,FALSE))=TRUE,"&lt;-- Veuillez choisir l'allocation parmis la liste déroulante.",""))</f>
        <v/>
      </c>
    </row>
    <row r="183" spans="1:34" x14ac:dyDescent="0.25">
      <c r="A183" s="73" t="str">
        <f>IF(SalCommune[[#This Row],[Statut]]="","",IF(ISNA(VLOOKUP(SalCommune[[#This Row],[Statut]],'Grille communale'!$B$3:$B$5,1,FALSE))=TRUE,"Veuillez choisir le statut parmis la liste déroulante",""))</f>
        <v/>
      </c>
      <c r="B183" s="8"/>
      <c r="C183" s="8"/>
      <c r="D183" s="8"/>
      <c r="E183" s="21"/>
      <c r="F183" s="8"/>
      <c r="G183" s="8"/>
      <c r="H183" s="9"/>
      <c r="I183" s="9"/>
      <c r="J183" s="9"/>
      <c r="K183" s="10"/>
      <c r="L183" s="10"/>
      <c r="M183" s="9"/>
      <c r="N183" s="9"/>
      <c r="O183" s="9"/>
      <c r="P183"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83" s="9"/>
      <c r="R183" s="9"/>
      <c r="S183" s="38"/>
      <c r="T183" s="38"/>
      <c r="U183" s="38"/>
      <c r="V183" s="38"/>
      <c r="W183" s="38"/>
      <c r="X183" s="67" t="str">
        <f>IF(COUNTA(SalCommune[[#This Row],[N°]:[heures annuelles
selon contrat(s)]])=0,"",SalCommune[[#This Row],[Brut]]+SalCommune[[#This Row],[Autres Primes]]+SalCommune[[#This Row],[Part patronale]]-ABS(SalCommune[[#This Row],[Remboursement Mutualité]])-ABS(SalCommune[[#This Row],[Remboursement
Autres]]))</f>
        <v/>
      </c>
      <c r="Y183" s="38"/>
      <c r="Z183"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83" s="8"/>
      <c r="AB183" s="64"/>
      <c r="AC183"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83"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83" s="505"/>
      <c r="AF183" s="187"/>
      <c r="AG183" s="200" t="str">
        <f>IF(COUNTA(SalCommune[[#This Row],[N°]:[heures annuelles
selon contrat(s)]])=0,"",REVEX!$E$9)</f>
        <v/>
      </c>
      <c r="AH183" s="73" t="str">
        <f>IF(SalCommune[[#This Row],[Allocations fonctions]]="","",IF(ISNA(VLOOKUP(SalCommune[[#This Row],[Allocations fonctions]],DROPDOWN[Dropdown82],1,FALSE))=TRUE,"&lt;-- Veuillez choisir l'allocation parmis la liste déroulante.",""))</f>
        <v/>
      </c>
    </row>
    <row r="184" spans="1:34" x14ac:dyDescent="0.25">
      <c r="A184" s="73" t="str">
        <f>IF(SalCommune[[#This Row],[Statut]]="","",IF(ISNA(VLOOKUP(SalCommune[[#This Row],[Statut]],'Grille communale'!$B$3:$B$5,1,FALSE))=TRUE,"Veuillez choisir le statut parmis la liste déroulante",""))</f>
        <v/>
      </c>
      <c r="B184" s="8"/>
      <c r="C184" s="8"/>
      <c r="D184" s="8"/>
      <c r="E184" s="21"/>
      <c r="F184" s="8"/>
      <c r="G184" s="8"/>
      <c r="H184" s="9"/>
      <c r="I184" s="9"/>
      <c r="J184" s="9"/>
      <c r="K184" s="10"/>
      <c r="L184" s="10"/>
      <c r="M184" s="9"/>
      <c r="N184" s="9"/>
      <c r="O184" s="9"/>
      <c r="P184"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84" s="9"/>
      <c r="R184" s="9"/>
      <c r="S184" s="38"/>
      <c r="T184" s="38"/>
      <c r="U184" s="38"/>
      <c r="V184" s="38"/>
      <c r="W184" s="38"/>
      <c r="X184" s="67" t="str">
        <f>IF(COUNTA(SalCommune[[#This Row],[N°]:[heures annuelles
selon contrat(s)]])=0,"",SalCommune[[#This Row],[Brut]]+SalCommune[[#This Row],[Autres Primes]]+SalCommune[[#This Row],[Part patronale]]-ABS(SalCommune[[#This Row],[Remboursement Mutualité]])-ABS(SalCommune[[#This Row],[Remboursement
Autres]]))</f>
        <v/>
      </c>
      <c r="Y184" s="38"/>
      <c r="Z184"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84" s="8"/>
      <c r="AB184" s="64"/>
      <c r="AC184"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84"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84" s="505"/>
      <c r="AF184" s="187"/>
      <c r="AG184" s="200" t="str">
        <f>IF(COUNTA(SalCommune[[#This Row],[N°]:[heures annuelles
selon contrat(s)]])=0,"",REVEX!$E$9)</f>
        <v/>
      </c>
      <c r="AH184" s="73" t="str">
        <f>IF(SalCommune[[#This Row],[Allocations fonctions]]="","",IF(ISNA(VLOOKUP(SalCommune[[#This Row],[Allocations fonctions]],DROPDOWN[Dropdown82],1,FALSE))=TRUE,"&lt;-- Veuillez choisir l'allocation parmis la liste déroulante.",""))</f>
        <v/>
      </c>
    </row>
    <row r="185" spans="1:34" x14ac:dyDescent="0.25">
      <c r="A185" s="73" t="str">
        <f>IF(SalCommune[[#This Row],[Statut]]="","",IF(ISNA(VLOOKUP(SalCommune[[#This Row],[Statut]],'Grille communale'!$B$3:$B$5,1,FALSE))=TRUE,"Veuillez choisir le statut parmis la liste déroulante",""))</f>
        <v/>
      </c>
      <c r="B185" s="8"/>
      <c r="C185" s="8"/>
      <c r="D185" s="8"/>
      <c r="E185" s="21"/>
      <c r="F185" s="8"/>
      <c r="G185" s="8"/>
      <c r="H185" s="9"/>
      <c r="I185" s="9"/>
      <c r="J185" s="9"/>
      <c r="K185" s="10"/>
      <c r="L185" s="10"/>
      <c r="M185" s="9"/>
      <c r="N185" s="9"/>
      <c r="O185" s="9"/>
      <c r="P185"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85" s="9"/>
      <c r="R185" s="9"/>
      <c r="S185" s="38"/>
      <c r="T185" s="38"/>
      <c r="U185" s="38"/>
      <c r="V185" s="38"/>
      <c r="W185" s="38"/>
      <c r="X185" s="67" t="str">
        <f>IF(COUNTA(SalCommune[[#This Row],[N°]:[heures annuelles
selon contrat(s)]])=0,"",SalCommune[[#This Row],[Brut]]+SalCommune[[#This Row],[Autres Primes]]+SalCommune[[#This Row],[Part patronale]]-ABS(SalCommune[[#This Row],[Remboursement Mutualité]])-ABS(SalCommune[[#This Row],[Remboursement
Autres]]))</f>
        <v/>
      </c>
      <c r="Y185" s="38"/>
      <c r="Z185"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85" s="8"/>
      <c r="AB185" s="64"/>
      <c r="AC185"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85"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85" s="505"/>
      <c r="AF185" s="187"/>
      <c r="AG185" s="200" t="str">
        <f>IF(COUNTA(SalCommune[[#This Row],[N°]:[heures annuelles
selon contrat(s)]])=0,"",REVEX!$E$9)</f>
        <v/>
      </c>
      <c r="AH185" s="73" t="str">
        <f>IF(SalCommune[[#This Row],[Allocations fonctions]]="","",IF(ISNA(VLOOKUP(SalCommune[[#This Row],[Allocations fonctions]],DROPDOWN[Dropdown82],1,FALSE))=TRUE,"&lt;-- Veuillez choisir l'allocation parmis la liste déroulante.",""))</f>
        <v/>
      </c>
    </row>
    <row r="186" spans="1:34" x14ac:dyDescent="0.25">
      <c r="A186" s="73" t="str">
        <f>IF(SalCommune[[#This Row],[Statut]]="","",IF(ISNA(VLOOKUP(SalCommune[[#This Row],[Statut]],'Grille communale'!$B$3:$B$5,1,FALSE))=TRUE,"Veuillez choisir le statut parmis la liste déroulante",""))</f>
        <v/>
      </c>
      <c r="B186" s="8"/>
      <c r="C186" s="8"/>
      <c r="D186" s="8"/>
      <c r="E186" s="21"/>
      <c r="F186" s="8"/>
      <c r="G186" s="8"/>
      <c r="H186" s="9"/>
      <c r="I186" s="9"/>
      <c r="J186" s="9"/>
      <c r="K186" s="10"/>
      <c r="L186" s="10"/>
      <c r="M186" s="9"/>
      <c r="N186" s="9"/>
      <c r="O186" s="9"/>
      <c r="P186"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86" s="9"/>
      <c r="R186" s="9"/>
      <c r="S186" s="38"/>
      <c r="T186" s="38"/>
      <c r="U186" s="38"/>
      <c r="V186" s="38"/>
      <c r="W186" s="38"/>
      <c r="X186" s="67" t="str">
        <f>IF(COUNTA(SalCommune[[#This Row],[N°]:[heures annuelles
selon contrat(s)]])=0,"",SalCommune[[#This Row],[Brut]]+SalCommune[[#This Row],[Autres Primes]]+SalCommune[[#This Row],[Part patronale]]-ABS(SalCommune[[#This Row],[Remboursement Mutualité]])-ABS(SalCommune[[#This Row],[Remboursement
Autres]]))</f>
        <v/>
      </c>
      <c r="Y186" s="38"/>
      <c r="Z186"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86" s="8"/>
      <c r="AB186" s="64"/>
      <c r="AC186"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86"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86" s="505"/>
      <c r="AF186" s="187"/>
      <c r="AG186" s="200" t="str">
        <f>IF(COUNTA(SalCommune[[#This Row],[N°]:[heures annuelles
selon contrat(s)]])=0,"",REVEX!$E$9)</f>
        <v/>
      </c>
      <c r="AH186" s="73" t="str">
        <f>IF(SalCommune[[#This Row],[Allocations fonctions]]="","",IF(ISNA(VLOOKUP(SalCommune[[#This Row],[Allocations fonctions]],DROPDOWN[Dropdown82],1,FALSE))=TRUE,"&lt;-- Veuillez choisir l'allocation parmis la liste déroulante.",""))</f>
        <v/>
      </c>
    </row>
    <row r="187" spans="1:34" x14ac:dyDescent="0.25">
      <c r="A187" s="73" t="str">
        <f>IF(SalCommune[[#This Row],[Statut]]="","",IF(ISNA(VLOOKUP(SalCommune[[#This Row],[Statut]],'Grille communale'!$B$3:$B$5,1,FALSE))=TRUE,"Veuillez choisir le statut parmis la liste déroulante",""))</f>
        <v/>
      </c>
      <c r="B187" s="8"/>
      <c r="C187" s="8"/>
      <c r="D187" s="8"/>
      <c r="E187" s="21"/>
      <c r="F187" s="8"/>
      <c r="G187" s="8"/>
      <c r="H187" s="9"/>
      <c r="I187" s="9"/>
      <c r="J187" s="9"/>
      <c r="K187" s="10"/>
      <c r="L187" s="10"/>
      <c r="M187" s="9"/>
      <c r="N187" s="9"/>
      <c r="O187" s="9"/>
      <c r="P187"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87" s="9"/>
      <c r="R187" s="9"/>
      <c r="S187" s="38"/>
      <c r="T187" s="38"/>
      <c r="U187" s="38"/>
      <c r="V187" s="38"/>
      <c r="W187" s="38"/>
      <c r="X187" s="67" t="str">
        <f>IF(COUNTA(SalCommune[[#This Row],[N°]:[heures annuelles
selon contrat(s)]])=0,"",SalCommune[[#This Row],[Brut]]+SalCommune[[#This Row],[Autres Primes]]+SalCommune[[#This Row],[Part patronale]]-ABS(SalCommune[[#This Row],[Remboursement Mutualité]])-ABS(SalCommune[[#This Row],[Remboursement
Autres]]))</f>
        <v/>
      </c>
      <c r="Y187" s="38"/>
      <c r="Z187"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87" s="8"/>
      <c r="AB187" s="64"/>
      <c r="AC187"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87"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87" s="505"/>
      <c r="AF187" s="187"/>
      <c r="AG187" s="200" t="str">
        <f>IF(COUNTA(SalCommune[[#This Row],[N°]:[heures annuelles
selon contrat(s)]])=0,"",REVEX!$E$9)</f>
        <v/>
      </c>
      <c r="AH187" s="73" t="str">
        <f>IF(SalCommune[[#This Row],[Allocations fonctions]]="","",IF(ISNA(VLOOKUP(SalCommune[[#This Row],[Allocations fonctions]],DROPDOWN[Dropdown82],1,FALSE))=TRUE,"&lt;-- Veuillez choisir l'allocation parmis la liste déroulante.",""))</f>
        <v/>
      </c>
    </row>
    <row r="188" spans="1:34" x14ac:dyDescent="0.25">
      <c r="A188" s="73" t="str">
        <f>IF(SalCommune[[#This Row],[Statut]]="","",IF(ISNA(VLOOKUP(SalCommune[[#This Row],[Statut]],'Grille communale'!$B$3:$B$5,1,FALSE))=TRUE,"Veuillez choisir le statut parmis la liste déroulante",""))</f>
        <v/>
      </c>
      <c r="B188" s="8"/>
      <c r="C188" s="8"/>
      <c r="D188" s="8"/>
      <c r="E188" s="21"/>
      <c r="F188" s="8"/>
      <c r="G188" s="8"/>
      <c r="H188" s="9"/>
      <c r="I188" s="9"/>
      <c r="J188" s="9"/>
      <c r="K188" s="10"/>
      <c r="L188" s="10"/>
      <c r="M188" s="9"/>
      <c r="N188" s="9"/>
      <c r="O188" s="9"/>
      <c r="P188"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88" s="9"/>
      <c r="R188" s="9"/>
      <c r="S188" s="38"/>
      <c r="T188" s="38"/>
      <c r="U188" s="38"/>
      <c r="V188" s="38"/>
      <c r="W188" s="38"/>
      <c r="X188" s="67" t="str">
        <f>IF(COUNTA(SalCommune[[#This Row],[N°]:[heures annuelles
selon contrat(s)]])=0,"",SalCommune[[#This Row],[Brut]]+SalCommune[[#This Row],[Autres Primes]]+SalCommune[[#This Row],[Part patronale]]-ABS(SalCommune[[#This Row],[Remboursement Mutualité]])-ABS(SalCommune[[#This Row],[Remboursement
Autres]]))</f>
        <v/>
      </c>
      <c r="Y188" s="38"/>
      <c r="Z188"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88" s="8"/>
      <c r="AB188" s="64"/>
      <c r="AC188"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88"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88" s="505"/>
      <c r="AF188" s="187"/>
      <c r="AG188" s="200" t="str">
        <f>IF(COUNTA(SalCommune[[#This Row],[N°]:[heures annuelles
selon contrat(s)]])=0,"",REVEX!$E$9)</f>
        <v/>
      </c>
      <c r="AH188" s="73" t="str">
        <f>IF(SalCommune[[#This Row],[Allocations fonctions]]="","",IF(ISNA(VLOOKUP(SalCommune[[#This Row],[Allocations fonctions]],DROPDOWN[Dropdown82],1,FALSE))=TRUE,"&lt;-- Veuillez choisir l'allocation parmis la liste déroulante.",""))</f>
        <v/>
      </c>
    </row>
    <row r="189" spans="1:34" x14ac:dyDescent="0.25">
      <c r="A189" s="73" t="str">
        <f>IF(SalCommune[[#This Row],[Statut]]="","",IF(ISNA(VLOOKUP(SalCommune[[#This Row],[Statut]],'Grille communale'!$B$3:$B$5,1,FALSE))=TRUE,"Veuillez choisir le statut parmis la liste déroulante",""))</f>
        <v/>
      </c>
      <c r="B189" s="8"/>
      <c r="C189" s="8"/>
      <c r="D189" s="8"/>
      <c r="E189" s="21"/>
      <c r="F189" s="8"/>
      <c r="G189" s="8"/>
      <c r="H189" s="9"/>
      <c r="I189" s="9"/>
      <c r="J189" s="9"/>
      <c r="K189" s="10"/>
      <c r="L189" s="10"/>
      <c r="M189" s="9"/>
      <c r="N189" s="9"/>
      <c r="O189" s="9"/>
      <c r="P189"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89" s="9"/>
      <c r="R189" s="9"/>
      <c r="S189" s="38"/>
      <c r="T189" s="38"/>
      <c r="U189" s="38"/>
      <c r="V189" s="38"/>
      <c r="W189" s="38"/>
      <c r="X189" s="67" t="str">
        <f>IF(COUNTA(SalCommune[[#This Row],[N°]:[heures annuelles
selon contrat(s)]])=0,"",SalCommune[[#This Row],[Brut]]+SalCommune[[#This Row],[Autres Primes]]+SalCommune[[#This Row],[Part patronale]]-ABS(SalCommune[[#This Row],[Remboursement Mutualité]])-ABS(SalCommune[[#This Row],[Remboursement
Autres]]))</f>
        <v/>
      </c>
      <c r="Y189" s="38"/>
      <c r="Z189"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89" s="8"/>
      <c r="AB189" s="64"/>
      <c r="AC189"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89"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89" s="505"/>
      <c r="AF189" s="187"/>
      <c r="AG189" s="200" t="str">
        <f>IF(COUNTA(SalCommune[[#This Row],[N°]:[heures annuelles
selon contrat(s)]])=0,"",REVEX!$E$9)</f>
        <v/>
      </c>
      <c r="AH189" s="73" t="str">
        <f>IF(SalCommune[[#This Row],[Allocations fonctions]]="","",IF(ISNA(VLOOKUP(SalCommune[[#This Row],[Allocations fonctions]],DROPDOWN[Dropdown82],1,FALSE))=TRUE,"&lt;-- Veuillez choisir l'allocation parmis la liste déroulante.",""))</f>
        <v/>
      </c>
    </row>
    <row r="190" spans="1:34" x14ac:dyDescent="0.25">
      <c r="A190" s="73" t="str">
        <f>IF(SalCommune[[#This Row],[Statut]]="","",IF(ISNA(VLOOKUP(SalCommune[[#This Row],[Statut]],'Grille communale'!$B$3:$B$5,1,FALSE))=TRUE,"Veuillez choisir le statut parmis la liste déroulante",""))</f>
        <v/>
      </c>
      <c r="B190" s="8"/>
      <c r="C190" s="8"/>
      <c r="D190" s="8"/>
      <c r="E190" s="21"/>
      <c r="F190" s="8"/>
      <c r="G190" s="8"/>
      <c r="H190" s="9"/>
      <c r="I190" s="9"/>
      <c r="J190" s="9"/>
      <c r="K190" s="10"/>
      <c r="L190" s="10"/>
      <c r="M190" s="9"/>
      <c r="N190" s="9"/>
      <c r="O190" s="9"/>
      <c r="P190"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90" s="9"/>
      <c r="R190" s="9"/>
      <c r="S190" s="38"/>
      <c r="T190" s="38"/>
      <c r="U190" s="38"/>
      <c r="V190" s="38"/>
      <c r="W190" s="38"/>
      <c r="X190" s="67" t="str">
        <f>IF(COUNTA(SalCommune[[#This Row],[N°]:[heures annuelles
selon contrat(s)]])=0,"",SalCommune[[#This Row],[Brut]]+SalCommune[[#This Row],[Autres Primes]]+SalCommune[[#This Row],[Part patronale]]-ABS(SalCommune[[#This Row],[Remboursement Mutualité]])-ABS(SalCommune[[#This Row],[Remboursement
Autres]]))</f>
        <v/>
      </c>
      <c r="Y190" s="38"/>
      <c r="Z190"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90" s="8"/>
      <c r="AB190" s="64"/>
      <c r="AC190"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90"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90" s="505"/>
      <c r="AF190" s="187"/>
      <c r="AG190" s="200" t="str">
        <f>IF(COUNTA(SalCommune[[#This Row],[N°]:[heures annuelles
selon contrat(s)]])=0,"",REVEX!$E$9)</f>
        <v/>
      </c>
      <c r="AH190" s="73" t="str">
        <f>IF(SalCommune[[#This Row],[Allocations fonctions]]="","",IF(ISNA(VLOOKUP(SalCommune[[#This Row],[Allocations fonctions]],DROPDOWN[Dropdown82],1,FALSE))=TRUE,"&lt;-- Veuillez choisir l'allocation parmis la liste déroulante.",""))</f>
        <v/>
      </c>
    </row>
    <row r="191" spans="1:34" x14ac:dyDescent="0.25">
      <c r="A191" s="73" t="str">
        <f>IF(SalCommune[[#This Row],[Statut]]="","",IF(ISNA(VLOOKUP(SalCommune[[#This Row],[Statut]],'Grille communale'!$B$3:$B$5,1,FALSE))=TRUE,"Veuillez choisir le statut parmis la liste déroulante",""))</f>
        <v/>
      </c>
      <c r="B191" s="8"/>
      <c r="C191" s="8"/>
      <c r="D191" s="8"/>
      <c r="E191" s="21"/>
      <c r="F191" s="8"/>
      <c r="G191" s="8"/>
      <c r="H191" s="9"/>
      <c r="I191" s="9"/>
      <c r="J191" s="9"/>
      <c r="K191" s="10"/>
      <c r="L191" s="10"/>
      <c r="M191" s="9"/>
      <c r="N191" s="9"/>
      <c r="O191" s="9"/>
      <c r="P191"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91" s="9"/>
      <c r="R191" s="9"/>
      <c r="S191" s="38"/>
      <c r="T191" s="38"/>
      <c r="U191" s="38"/>
      <c r="V191" s="38"/>
      <c r="W191" s="38"/>
      <c r="X191" s="67" t="str">
        <f>IF(COUNTA(SalCommune[[#This Row],[N°]:[heures annuelles
selon contrat(s)]])=0,"",SalCommune[[#This Row],[Brut]]+SalCommune[[#This Row],[Autres Primes]]+SalCommune[[#This Row],[Part patronale]]-ABS(SalCommune[[#This Row],[Remboursement Mutualité]])-ABS(SalCommune[[#This Row],[Remboursement
Autres]]))</f>
        <v/>
      </c>
      <c r="Y191" s="38"/>
      <c r="Z191"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91" s="8"/>
      <c r="AB191" s="64"/>
      <c r="AC191"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91"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91" s="505"/>
      <c r="AF191" s="187"/>
      <c r="AG191" s="200" t="str">
        <f>IF(COUNTA(SalCommune[[#This Row],[N°]:[heures annuelles
selon contrat(s)]])=0,"",REVEX!$E$9)</f>
        <v/>
      </c>
      <c r="AH191" s="73" t="str">
        <f>IF(SalCommune[[#This Row],[Allocations fonctions]]="","",IF(ISNA(VLOOKUP(SalCommune[[#This Row],[Allocations fonctions]],DROPDOWN[Dropdown82],1,FALSE))=TRUE,"&lt;-- Veuillez choisir l'allocation parmis la liste déroulante.",""))</f>
        <v/>
      </c>
    </row>
    <row r="192" spans="1:34" x14ac:dyDescent="0.25">
      <c r="A192" s="73" t="str">
        <f>IF(SalCommune[[#This Row],[Statut]]="","",IF(ISNA(VLOOKUP(SalCommune[[#This Row],[Statut]],'Grille communale'!$B$3:$B$5,1,FALSE))=TRUE,"Veuillez choisir le statut parmis la liste déroulante",""))</f>
        <v/>
      </c>
      <c r="B192" s="8"/>
      <c r="C192" s="8"/>
      <c r="D192" s="8"/>
      <c r="E192" s="21"/>
      <c r="F192" s="8"/>
      <c r="G192" s="8"/>
      <c r="H192" s="9"/>
      <c r="I192" s="9"/>
      <c r="J192" s="9"/>
      <c r="K192" s="10"/>
      <c r="L192" s="10"/>
      <c r="M192" s="9"/>
      <c r="N192" s="9"/>
      <c r="O192" s="9"/>
      <c r="P192"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92" s="9"/>
      <c r="R192" s="9"/>
      <c r="S192" s="38"/>
      <c r="T192" s="38"/>
      <c r="U192" s="38"/>
      <c r="V192" s="38"/>
      <c r="W192" s="38"/>
      <c r="X192" s="67" t="str">
        <f>IF(COUNTA(SalCommune[[#This Row],[N°]:[heures annuelles
selon contrat(s)]])=0,"",SalCommune[[#This Row],[Brut]]+SalCommune[[#This Row],[Autres Primes]]+SalCommune[[#This Row],[Part patronale]]-ABS(SalCommune[[#This Row],[Remboursement Mutualité]])-ABS(SalCommune[[#This Row],[Remboursement
Autres]]))</f>
        <v/>
      </c>
      <c r="Y192" s="38"/>
      <c r="Z192"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92" s="8"/>
      <c r="AB192" s="64"/>
      <c r="AC192"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92"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92" s="505"/>
      <c r="AF192" s="187"/>
      <c r="AG192" s="200" t="str">
        <f>IF(COUNTA(SalCommune[[#This Row],[N°]:[heures annuelles
selon contrat(s)]])=0,"",REVEX!$E$9)</f>
        <v/>
      </c>
      <c r="AH192" s="73" t="str">
        <f>IF(SalCommune[[#This Row],[Allocations fonctions]]="","",IF(ISNA(VLOOKUP(SalCommune[[#This Row],[Allocations fonctions]],DROPDOWN[Dropdown82],1,FALSE))=TRUE,"&lt;-- Veuillez choisir l'allocation parmis la liste déroulante.",""))</f>
        <v/>
      </c>
    </row>
    <row r="193" spans="1:34" x14ac:dyDescent="0.25">
      <c r="A193" s="73" t="str">
        <f>IF(SalCommune[[#This Row],[Statut]]="","",IF(ISNA(VLOOKUP(SalCommune[[#This Row],[Statut]],'Grille communale'!$B$3:$B$5,1,FALSE))=TRUE,"Veuillez choisir le statut parmis la liste déroulante",""))</f>
        <v/>
      </c>
      <c r="B193" s="8"/>
      <c r="C193" s="8"/>
      <c r="D193" s="8"/>
      <c r="E193" s="21"/>
      <c r="F193" s="8"/>
      <c r="G193" s="8"/>
      <c r="H193" s="9"/>
      <c r="I193" s="9"/>
      <c r="J193" s="9"/>
      <c r="K193" s="10"/>
      <c r="L193" s="10"/>
      <c r="M193" s="9"/>
      <c r="N193" s="9"/>
      <c r="O193" s="9"/>
      <c r="P193"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93" s="9"/>
      <c r="R193" s="9"/>
      <c r="S193" s="38"/>
      <c r="T193" s="38"/>
      <c r="U193" s="38"/>
      <c r="V193" s="38"/>
      <c r="W193" s="38"/>
      <c r="X193" s="67" t="str">
        <f>IF(COUNTA(SalCommune[[#This Row],[N°]:[heures annuelles
selon contrat(s)]])=0,"",SalCommune[[#This Row],[Brut]]+SalCommune[[#This Row],[Autres Primes]]+SalCommune[[#This Row],[Part patronale]]-ABS(SalCommune[[#This Row],[Remboursement Mutualité]])-ABS(SalCommune[[#This Row],[Remboursement
Autres]]))</f>
        <v/>
      </c>
      <c r="Y193" s="38"/>
      <c r="Z193"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93" s="8"/>
      <c r="AB193" s="64"/>
      <c r="AC193"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93"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93" s="505"/>
      <c r="AF193" s="187"/>
      <c r="AG193" s="200" t="str">
        <f>IF(COUNTA(SalCommune[[#This Row],[N°]:[heures annuelles
selon contrat(s)]])=0,"",REVEX!$E$9)</f>
        <v/>
      </c>
      <c r="AH193" s="73" t="str">
        <f>IF(SalCommune[[#This Row],[Allocations fonctions]]="","",IF(ISNA(VLOOKUP(SalCommune[[#This Row],[Allocations fonctions]],DROPDOWN[Dropdown82],1,FALSE))=TRUE,"&lt;-- Veuillez choisir l'allocation parmis la liste déroulante.",""))</f>
        <v/>
      </c>
    </row>
    <row r="194" spans="1:34" x14ac:dyDescent="0.25">
      <c r="A194" s="73" t="str">
        <f>IF(SalCommune[[#This Row],[Statut]]="","",IF(ISNA(VLOOKUP(SalCommune[[#This Row],[Statut]],'Grille communale'!$B$3:$B$5,1,FALSE))=TRUE,"Veuillez choisir le statut parmis la liste déroulante",""))</f>
        <v/>
      </c>
      <c r="B194" s="8"/>
      <c r="C194" s="8"/>
      <c r="D194" s="8"/>
      <c r="E194" s="21"/>
      <c r="F194" s="8"/>
      <c r="G194" s="8"/>
      <c r="H194" s="9"/>
      <c r="I194" s="9"/>
      <c r="J194" s="9"/>
      <c r="K194" s="10"/>
      <c r="L194" s="10"/>
      <c r="M194" s="9"/>
      <c r="N194" s="9"/>
      <c r="O194" s="9"/>
      <c r="P194"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94" s="9"/>
      <c r="R194" s="9"/>
      <c r="S194" s="38"/>
      <c r="T194" s="38"/>
      <c r="U194" s="38"/>
      <c r="V194" s="38"/>
      <c r="W194" s="38"/>
      <c r="X194" s="67" t="str">
        <f>IF(COUNTA(SalCommune[[#This Row],[N°]:[heures annuelles
selon contrat(s)]])=0,"",SalCommune[[#This Row],[Brut]]+SalCommune[[#This Row],[Autres Primes]]+SalCommune[[#This Row],[Part patronale]]-ABS(SalCommune[[#This Row],[Remboursement Mutualité]])-ABS(SalCommune[[#This Row],[Remboursement
Autres]]))</f>
        <v/>
      </c>
      <c r="Y194" s="38"/>
      <c r="Z194"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94" s="8"/>
      <c r="AB194" s="64"/>
      <c r="AC194"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94"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94" s="505"/>
      <c r="AF194" s="187"/>
      <c r="AG194" s="200" t="str">
        <f>IF(COUNTA(SalCommune[[#This Row],[N°]:[heures annuelles
selon contrat(s)]])=0,"",REVEX!$E$9)</f>
        <v/>
      </c>
      <c r="AH194" s="73" t="str">
        <f>IF(SalCommune[[#This Row],[Allocations fonctions]]="","",IF(ISNA(VLOOKUP(SalCommune[[#This Row],[Allocations fonctions]],DROPDOWN[Dropdown82],1,FALSE))=TRUE,"&lt;-- Veuillez choisir l'allocation parmis la liste déroulante.",""))</f>
        <v/>
      </c>
    </row>
    <row r="195" spans="1:34" x14ac:dyDescent="0.25">
      <c r="A195" s="73" t="str">
        <f>IF(SalCommune[[#This Row],[Statut]]="","",IF(ISNA(VLOOKUP(SalCommune[[#This Row],[Statut]],'Grille communale'!$B$3:$B$5,1,FALSE))=TRUE,"Veuillez choisir le statut parmis la liste déroulante",""))</f>
        <v/>
      </c>
      <c r="B195" s="8"/>
      <c r="C195" s="8"/>
      <c r="D195" s="8"/>
      <c r="E195" s="21"/>
      <c r="F195" s="8"/>
      <c r="G195" s="8"/>
      <c r="H195" s="9"/>
      <c r="I195" s="9"/>
      <c r="J195" s="9"/>
      <c r="K195" s="10"/>
      <c r="L195" s="10"/>
      <c r="M195" s="9"/>
      <c r="N195" s="9"/>
      <c r="O195" s="9"/>
      <c r="P195"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95" s="9"/>
      <c r="R195" s="9"/>
      <c r="S195" s="38"/>
      <c r="T195" s="38"/>
      <c r="U195" s="38"/>
      <c r="V195" s="38"/>
      <c r="W195" s="38"/>
      <c r="X195" s="67" t="str">
        <f>IF(COUNTA(SalCommune[[#This Row],[N°]:[heures annuelles
selon contrat(s)]])=0,"",SalCommune[[#This Row],[Brut]]+SalCommune[[#This Row],[Autres Primes]]+SalCommune[[#This Row],[Part patronale]]-ABS(SalCommune[[#This Row],[Remboursement Mutualité]])-ABS(SalCommune[[#This Row],[Remboursement
Autres]]))</f>
        <v/>
      </c>
      <c r="Y195" s="38"/>
      <c r="Z195"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95" s="8"/>
      <c r="AB195" s="64"/>
      <c r="AC195"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95"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95" s="505"/>
      <c r="AF195" s="187"/>
      <c r="AG195" s="200" t="str">
        <f>IF(COUNTA(SalCommune[[#This Row],[N°]:[heures annuelles
selon contrat(s)]])=0,"",REVEX!$E$9)</f>
        <v/>
      </c>
      <c r="AH195" s="73" t="str">
        <f>IF(SalCommune[[#This Row],[Allocations fonctions]]="","",IF(ISNA(VLOOKUP(SalCommune[[#This Row],[Allocations fonctions]],DROPDOWN[Dropdown82],1,FALSE))=TRUE,"&lt;-- Veuillez choisir l'allocation parmis la liste déroulante.",""))</f>
        <v/>
      </c>
    </row>
    <row r="196" spans="1:34" x14ac:dyDescent="0.25">
      <c r="A196" s="73" t="str">
        <f>IF(SalCommune[[#This Row],[Statut]]="","",IF(ISNA(VLOOKUP(SalCommune[[#This Row],[Statut]],'Grille communale'!$B$3:$B$5,1,FALSE))=TRUE,"Veuillez choisir le statut parmis la liste déroulante",""))</f>
        <v/>
      </c>
      <c r="B196" s="8"/>
      <c r="C196" s="8"/>
      <c r="D196" s="8"/>
      <c r="E196" s="21"/>
      <c r="F196" s="8"/>
      <c r="G196" s="8"/>
      <c r="H196" s="9"/>
      <c r="I196" s="9"/>
      <c r="J196" s="9"/>
      <c r="K196" s="10"/>
      <c r="L196" s="10"/>
      <c r="M196" s="9"/>
      <c r="N196" s="9"/>
      <c r="O196" s="9"/>
      <c r="P196"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96" s="9"/>
      <c r="R196" s="9"/>
      <c r="S196" s="38"/>
      <c r="T196" s="38"/>
      <c r="U196" s="38"/>
      <c r="V196" s="38"/>
      <c r="W196" s="38"/>
      <c r="X196" s="67" t="str">
        <f>IF(COUNTA(SalCommune[[#This Row],[N°]:[heures annuelles
selon contrat(s)]])=0,"",SalCommune[[#This Row],[Brut]]+SalCommune[[#This Row],[Autres Primes]]+SalCommune[[#This Row],[Part patronale]]-ABS(SalCommune[[#This Row],[Remboursement Mutualité]])-ABS(SalCommune[[#This Row],[Remboursement
Autres]]))</f>
        <v/>
      </c>
      <c r="Y196" s="38"/>
      <c r="Z196"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96" s="8"/>
      <c r="AB196" s="64"/>
      <c r="AC196"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96"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96" s="505"/>
      <c r="AF196" s="187"/>
      <c r="AG196" s="200" t="str">
        <f>IF(COUNTA(SalCommune[[#This Row],[N°]:[heures annuelles
selon contrat(s)]])=0,"",REVEX!$E$9)</f>
        <v/>
      </c>
      <c r="AH196" s="73" t="str">
        <f>IF(SalCommune[[#This Row],[Allocations fonctions]]="","",IF(ISNA(VLOOKUP(SalCommune[[#This Row],[Allocations fonctions]],DROPDOWN[Dropdown82],1,FALSE))=TRUE,"&lt;-- Veuillez choisir l'allocation parmis la liste déroulante.",""))</f>
        <v/>
      </c>
    </row>
    <row r="197" spans="1:34" x14ac:dyDescent="0.25">
      <c r="A197" s="73" t="str">
        <f>IF(SalCommune[[#This Row],[Statut]]="","",IF(ISNA(VLOOKUP(SalCommune[[#This Row],[Statut]],'Grille communale'!$B$3:$B$5,1,FALSE))=TRUE,"Veuillez choisir le statut parmis la liste déroulante",""))</f>
        <v/>
      </c>
      <c r="B197" s="8"/>
      <c r="C197" s="8"/>
      <c r="D197" s="8"/>
      <c r="E197" s="21"/>
      <c r="F197" s="8"/>
      <c r="G197" s="8"/>
      <c r="H197" s="9"/>
      <c r="I197" s="9"/>
      <c r="J197" s="9"/>
      <c r="K197" s="10"/>
      <c r="L197" s="10"/>
      <c r="M197" s="9"/>
      <c r="N197" s="9"/>
      <c r="O197" s="9"/>
      <c r="P197"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97" s="9"/>
      <c r="R197" s="9"/>
      <c r="S197" s="38"/>
      <c r="T197" s="38"/>
      <c r="U197" s="38"/>
      <c r="V197" s="38"/>
      <c r="W197" s="38"/>
      <c r="X197" s="67" t="str">
        <f>IF(COUNTA(SalCommune[[#This Row],[N°]:[heures annuelles
selon contrat(s)]])=0,"",SalCommune[[#This Row],[Brut]]+SalCommune[[#This Row],[Autres Primes]]+SalCommune[[#This Row],[Part patronale]]-ABS(SalCommune[[#This Row],[Remboursement Mutualité]])-ABS(SalCommune[[#This Row],[Remboursement
Autres]]))</f>
        <v/>
      </c>
      <c r="Y197" s="38"/>
      <c r="Z197"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97" s="8"/>
      <c r="AB197" s="64"/>
      <c r="AC197"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97"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97" s="505"/>
      <c r="AF197" s="187"/>
      <c r="AG197" s="200" t="str">
        <f>IF(COUNTA(SalCommune[[#This Row],[N°]:[heures annuelles
selon contrat(s)]])=0,"",REVEX!$E$9)</f>
        <v/>
      </c>
      <c r="AH197" s="73" t="str">
        <f>IF(SalCommune[[#This Row],[Allocations fonctions]]="","",IF(ISNA(VLOOKUP(SalCommune[[#This Row],[Allocations fonctions]],DROPDOWN[Dropdown82],1,FALSE))=TRUE,"&lt;-- Veuillez choisir l'allocation parmis la liste déroulante.",""))</f>
        <v/>
      </c>
    </row>
    <row r="198" spans="1:34" x14ac:dyDescent="0.25">
      <c r="A198" s="73" t="str">
        <f>IF(SalCommune[[#This Row],[Statut]]="","",IF(ISNA(VLOOKUP(SalCommune[[#This Row],[Statut]],'Grille communale'!$B$3:$B$5,1,FALSE))=TRUE,"Veuillez choisir le statut parmis la liste déroulante",""))</f>
        <v/>
      </c>
      <c r="B198" s="8"/>
      <c r="C198" s="8"/>
      <c r="D198" s="8"/>
      <c r="E198" s="21"/>
      <c r="F198" s="8"/>
      <c r="G198" s="8"/>
      <c r="H198" s="9"/>
      <c r="I198" s="9"/>
      <c r="J198" s="9"/>
      <c r="K198" s="10"/>
      <c r="L198" s="10"/>
      <c r="M198" s="9"/>
      <c r="N198" s="9"/>
      <c r="O198" s="9"/>
      <c r="P198"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98" s="9"/>
      <c r="R198" s="9"/>
      <c r="S198" s="38"/>
      <c r="T198" s="38"/>
      <c r="U198" s="38"/>
      <c r="V198" s="38"/>
      <c r="W198" s="38"/>
      <c r="X198" s="67" t="str">
        <f>IF(COUNTA(SalCommune[[#This Row],[N°]:[heures annuelles
selon contrat(s)]])=0,"",SalCommune[[#This Row],[Brut]]+SalCommune[[#This Row],[Autres Primes]]+SalCommune[[#This Row],[Part patronale]]-ABS(SalCommune[[#This Row],[Remboursement Mutualité]])-ABS(SalCommune[[#This Row],[Remboursement
Autres]]))</f>
        <v/>
      </c>
      <c r="Y198" s="38"/>
      <c r="Z198"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98" s="8"/>
      <c r="AB198" s="64"/>
      <c r="AC198"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98"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98" s="505"/>
      <c r="AF198" s="187"/>
      <c r="AG198" s="200" t="str">
        <f>IF(COUNTA(SalCommune[[#This Row],[N°]:[heures annuelles
selon contrat(s)]])=0,"",REVEX!$E$9)</f>
        <v/>
      </c>
      <c r="AH198" s="73" t="str">
        <f>IF(SalCommune[[#This Row],[Allocations fonctions]]="","",IF(ISNA(VLOOKUP(SalCommune[[#This Row],[Allocations fonctions]],DROPDOWN[Dropdown82],1,FALSE))=TRUE,"&lt;-- Veuillez choisir l'allocation parmis la liste déroulante.",""))</f>
        <v/>
      </c>
    </row>
    <row r="199" spans="1:34" x14ac:dyDescent="0.25">
      <c r="A199" s="73" t="str">
        <f>IF(SalCommune[[#This Row],[Statut]]="","",IF(ISNA(VLOOKUP(SalCommune[[#This Row],[Statut]],'Grille communale'!$B$3:$B$5,1,FALSE))=TRUE,"Veuillez choisir le statut parmis la liste déroulante",""))</f>
        <v/>
      </c>
      <c r="B199" s="8"/>
      <c r="C199" s="8"/>
      <c r="D199" s="8"/>
      <c r="E199" s="21"/>
      <c r="F199" s="8"/>
      <c r="G199" s="8"/>
      <c r="H199" s="9"/>
      <c r="I199" s="9"/>
      <c r="J199" s="9"/>
      <c r="K199" s="10"/>
      <c r="L199" s="10"/>
      <c r="M199" s="9"/>
      <c r="N199" s="9"/>
      <c r="O199" s="9"/>
      <c r="P199"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199" s="9"/>
      <c r="R199" s="9"/>
      <c r="S199" s="38"/>
      <c r="T199" s="38"/>
      <c r="U199" s="38"/>
      <c r="V199" s="38"/>
      <c r="W199" s="38"/>
      <c r="X199" s="67" t="str">
        <f>IF(COUNTA(SalCommune[[#This Row],[N°]:[heures annuelles
selon contrat(s)]])=0,"",SalCommune[[#This Row],[Brut]]+SalCommune[[#This Row],[Autres Primes]]+SalCommune[[#This Row],[Part patronale]]-ABS(SalCommune[[#This Row],[Remboursement Mutualité]])-ABS(SalCommune[[#This Row],[Remboursement
Autres]]))</f>
        <v/>
      </c>
      <c r="Y199" s="38"/>
      <c r="Z199"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199" s="8"/>
      <c r="AB199" s="64"/>
      <c r="AC199"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199"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199" s="505"/>
      <c r="AF199" s="187"/>
      <c r="AG199" s="200" t="str">
        <f>IF(COUNTA(SalCommune[[#This Row],[N°]:[heures annuelles
selon contrat(s)]])=0,"",REVEX!$E$9)</f>
        <v/>
      </c>
      <c r="AH199" s="73" t="str">
        <f>IF(SalCommune[[#This Row],[Allocations fonctions]]="","",IF(ISNA(VLOOKUP(SalCommune[[#This Row],[Allocations fonctions]],DROPDOWN[Dropdown82],1,FALSE))=TRUE,"&lt;-- Veuillez choisir l'allocation parmis la liste déroulante.",""))</f>
        <v/>
      </c>
    </row>
    <row r="200" spans="1:34" x14ac:dyDescent="0.25">
      <c r="A200" s="73" t="str">
        <f>IF(SalCommune[[#This Row],[Statut]]="","",IF(ISNA(VLOOKUP(SalCommune[[#This Row],[Statut]],'Grille communale'!$B$3:$B$5,1,FALSE))=TRUE,"Veuillez choisir le statut parmis la liste déroulante",""))</f>
        <v/>
      </c>
      <c r="B200" s="8"/>
      <c r="C200" s="8"/>
      <c r="D200" s="8"/>
      <c r="E200" s="21"/>
      <c r="F200" s="8"/>
      <c r="G200" s="8"/>
      <c r="H200" s="9"/>
      <c r="I200" s="9"/>
      <c r="J200" s="9"/>
      <c r="K200" s="10"/>
      <c r="L200" s="10"/>
      <c r="M200" s="9"/>
      <c r="N200" s="9"/>
      <c r="O200" s="9"/>
      <c r="P200"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00" s="9"/>
      <c r="R200" s="9"/>
      <c r="S200" s="38"/>
      <c r="T200" s="38"/>
      <c r="U200" s="38"/>
      <c r="V200" s="38"/>
      <c r="W200" s="38"/>
      <c r="X200" s="67" t="str">
        <f>IF(COUNTA(SalCommune[[#This Row],[N°]:[heures annuelles
selon contrat(s)]])=0,"",SalCommune[[#This Row],[Brut]]+SalCommune[[#This Row],[Autres Primes]]+SalCommune[[#This Row],[Part patronale]]-ABS(SalCommune[[#This Row],[Remboursement Mutualité]])-ABS(SalCommune[[#This Row],[Remboursement
Autres]]))</f>
        <v/>
      </c>
      <c r="Y200" s="38"/>
      <c r="Z200"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00" s="8"/>
      <c r="AB200" s="64"/>
      <c r="AC200"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00"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00" s="505"/>
      <c r="AF200" s="187"/>
      <c r="AG200" s="200" t="str">
        <f>IF(COUNTA(SalCommune[[#This Row],[N°]:[heures annuelles
selon contrat(s)]])=0,"",REVEX!$E$9)</f>
        <v/>
      </c>
      <c r="AH200" s="73" t="str">
        <f>IF(SalCommune[[#This Row],[Allocations fonctions]]="","",IF(ISNA(VLOOKUP(SalCommune[[#This Row],[Allocations fonctions]],DROPDOWN[Dropdown82],1,FALSE))=TRUE,"&lt;-- Veuillez choisir l'allocation parmis la liste déroulante.",""))</f>
        <v/>
      </c>
    </row>
    <row r="201" spans="1:34" x14ac:dyDescent="0.25">
      <c r="A201" s="73" t="str">
        <f>IF(SalCommune[[#This Row],[Statut]]="","",IF(ISNA(VLOOKUP(SalCommune[[#This Row],[Statut]],'Grille communale'!$B$3:$B$5,1,FALSE))=TRUE,"Veuillez choisir le statut parmis la liste déroulante",""))</f>
        <v/>
      </c>
      <c r="B201" s="8"/>
      <c r="C201" s="8"/>
      <c r="D201" s="8"/>
      <c r="E201" s="21"/>
      <c r="F201" s="8"/>
      <c r="G201" s="8"/>
      <c r="H201" s="9"/>
      <c r="I201" s="9"/>
      <c r="J201" s="9"/>
      <c r="K201" s="10"/>
      <c r="L201" s="10"/>
      <c r="M201" s="9"/>
      <c r="N201" s="9"/>
      <c r="O201" s="9"/>
      <c r="P201"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01" s="9"/>
      <c r="R201" s="9"/>
      <c r="S201" s="38"/>
      <c r="T201" s="38"/>
      <c r="U201" s="38"/>
      <c r="V201" s="38"/>
      <c r="W201" s="38"/>
      <c r="X201" s="67" t="str">
        <f>IF(COUNTA(SalCommune[[#This Row],[N°]:[heures annuelles
selon contrat(s)]])=0,"",SalCommune[[#This Row],[Brut]]+SalCommune[[#This Row],[Autres Primes]]+SalCommune[[#This Row],[Part patronale]]-ABS(SalCommune[[#This Row],[Remboursement Mutualité]])-ABS(SalCommune[[#This Row],[Remboursement
Autres]]))</f>
        <v/>
      </c>
      <c r="Y201" s="38"/>
      <c r="Z201"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01" s="8"/>
      <c r="AB201" s="64"/>
      <c r="AC201"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01"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01" s="505"/>
      <c r="AF201" s="187"/>
      <c r="AG201" s="200" t="str">
        <f>IF(COUNTA(SalCommune[[#This Row],[N°]:[heures annuelles
selon contrat(s)]])=0,"",REVEX!$E$9)</f>
        <v/>
      </c>
      <c r="AH201" s="73" t="str">
        <f>IF(SalCommune[[#This Row],[Allocations fonctions]]="","",IF(ISNA(VLOOKUP(SalCommune[[#This Row],[Allocations fonctions]],DROPDOWN[Dropdown82],1,FALSE))=TRUE,"&lt;-- Veuillez choisir l'allocation parmis la liste déroulante.",""))</f>
        <v/>
      </c>
    </row>
    <row r="202" spans="1:34" x14ac:dyDescent="0.25">
      <c r="A202" s="73" t="str">
        <f>IF(SalCommune[[#This Row],[Statut]]="","",IF(ISNA(VLOOKUP(SalCommune[[#This Row],[Statut]],'Grille communale'!$B$3:$B$5,1,FALSE))=TRUE,"Veuillez choisir le statut parmis la liste déroulante",""))</f>
        <v/>
      </c>
      <c r="B202" s="8"/>
      <c r="C202" s="8"/>
      <c r="D202" s="8"/>
      <c r="E202" s="21"/>
      <c r="F202" s="8"/>
      <c r="G202" s="8"/>
      <c r="H202" s="9"/>
      <c r="I202" s="9"/>
      <c r="J202" s="9"/>
      <c r="K202" s="10"/>
      <c r="L202" s="10"/>
      <c r="M202" s="9"/>
      <c r="N202" s="9"/>
      <c r="O202" s="9"/>
      <c r="P202"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02" s="9"/>
      <c r="R202" s="9"/>
      <c r="S202" s="38"/>
      <c r="T202" s="38"/>
      <c r="U202" s="38"/>
      <c r="V202" s="38"/>
      <c r="W202" s="38"/>
      <c r="X202" s="67" t="str">
        <f>IF(COUNTA(SalCommune[[#This Row],[N°]:[heures annuelles
selon contrat(s)]])=0,"",SalCommune[[#This Row],[Brut]]+SalCommune[[#This Row],[Autres Primes]]+SalCommune[[#This Row],[Part patronale]]-ABS(SalCommune[[#This Row],[Remboursement Mutualité]])-ABS(SalCommune[[#This Row],[Remboursement
Autres]]))</f>
        <v/>
      </c>
      <c r="Y202" s="38"/>
      <c r="Z202"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02" s="8"/>
      <c r="AB202" s="64"/>
      <c r="AC202"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02"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02" s="505"/>
      <c r="AF202" s="187"/>
      <c r="AG202" s="200" t="str">
        <f>IF(COUNTA(SalCommune[[#This Row],[N°]:[heures annuelles
selon contrat(s)]])=0,"",REVEX!$E$9)</f>
        <v/>
      </c>
      <c r="AH202" s="73" t="str">
        <f>IF(SalCommune[[#This Row],[Allocations fonctions]]="","",IF(ISNA(VLOOKUP(SalCommune[[#This Row],[Allocations fonctions]],DROPDOWN[Dropdown82],1,FALSE))=TRUE,"&lt;-- Veuillez choisir l'allocation parmis la liste déroulante.",""))</f>
        <v/>
      </c>
    </row>
    <row r="203" spans="1:34" x14ac:dyDescent="0.25">
      <c r="A203" s="73" t="str">
        <f>IF(SalCommune[[#This Row],[Statut]]="","",IF(ISNA(VLOOKUP(SalCommune[[#This Row],[Statut]],'Grille communale'!$B$3:$B$5,1,FALSE))=TRUE,"Veuillez choisir le statut parmis la liste déroulante",""))</f>
        <v/>
      </c>
      <c r="B203" s="8"/>
      <c r="C203" s="8"/>
      <c r="D203" s="8"/>
      <c r="E203" s="21"/>
      <c r="F203" s="8"/>
      <c r="G203" s="8"/>
      <c r="H203" s="9"/>
      <c r="I203" s="9"/>
      <c r="J203" s="9"/>
      <c r="K203" s="10"/>
      <c r="L203" s="10"/>
      <c r="M203" s="9"/>
      <c r="N203" s="9"/>
      <c r="O203" s="9"/>
      <c r="P203"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03" s="9"/>
      <c r="R203" s="9"/>
      <c r="S203" s="38"/>
      <c r="T203" s="38"/>
      <c r="U203" s="38"/>
      <c r="V203" s="38"/>
      <c r="W203" s="38"/>
      <c r="X203" s="67" t="str">
        <f>IF(COUNTA(SalCommune[[#This Row],[N°]:[heures annuelles
selon contrat(s)]])=0,"",SalCommune[[#This Row],[Brut]]+SalCommune[[#This Row],[Autres Primes]]+SalCommune[[#This Row],[Part patronale]]-ABS(SalCommune[[#This Row],[Remboursement Mutualité]])-ABS(SalCommune[[#This Row],[Remboursement
Autres]]))</f>
        <v/>
      </c>
      <c r="Y203" s="38"/>
      <c r="Z203"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03" s="8"/>
      <c r="AB203" s="64"/>
      <c r="AC203"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03"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03" s="505"/>
      <c r="AF203" s="187"/>
      <c r="AG203" s="200" t="str">
        <f>IF(COUNTA(SalCommune[[#This Row],[N°]:[heures annuelles
selon contrat(s)]])=0,"",REVEX!$E$9)</f>
        <v/>
      </c>
      <c r="AH203" s="73" t="str">
        <f>IF(SalCommune[[#This Row],[Allocations fonctions]]="","",IF(ISNA(VLOOKUP(SalCommune[[#This Row],[Allocations fonctions]],DROPDOWN[Dropdown82],1,FALSE))=TRUE,"&lt;-- Veuillez choisir l'allocation parmis la liste déroulante.",""))</f>
        <v/>
      </c>
    </row>
    <row r="204" spans="1:34" x14ac:dyDescent="0.25">
      <c r="A204" s="73" t="str">
        <f>IF(SalCommune[[#This Row],[Statut]]="","",IF(ISNA(VLOOKUP(SalCommune[[#This Row],[Statut]],'Grille communale'!$B$3:$B$5,1,FALSE))=TRUE,"Veuillez choisir le statut parmis la liste déroulante",""))</f>
        <v/>
      </c>
      <c r="B204" s="8"/>
      <c r="C204" s="8"/>
      <c r="D204" s="8"/>
      <c r="E204" s="21"/>
      <c r="F204" s="8"/>
      <c r="G204" s="8"/>
      <c r="H204" s="9"/>
      <c r="I204" s="9"/>
      <c r="J204" s="9"/>
      <c r="K204" s="10"/>
      <c r="L204" s="10"/>
      <c r="M204" s="9"/>
      <c r="N204" s="9"/>
      <c r="O204" s="9"/>
      <c r="P204"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04" s="9"/>
      <c r="R204" s="9"/>
      <c r="S204" s="38"/>
      <c r="T204" s="38"/>
      <c r="U204" s="38"/>
      <c r="V204" s="38"/>
      <c r="W204" s="38"/>
      <c r="X204" s="67" t="str">
        <f>IF(COUNTA(SalCommune[[#This Row],[N°]:[heures annuelles
selon contrat(s)]])=0,"",SalCommune[[#This Row],[Brut]]+SalCommune[[#This Row],[Autres Primes]]+SalCommune[[#This Row],[Part patronale]]-ABS(SalCommune[[#This Row],[Remboursement Mutualité]])-ABS(SalCommune[[#This Row],[Remboursement
Autres]]))</f>
        <v/>
      </c>
      <c r="Y204" s="38"/>
      <c r="Z204"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04" s="8"/>
      <c r="AB204" s="64"/>
      <c r="AC204"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04"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04" s="505"/>
      <c r="AF204" s="187"/>
      <c r="AG204" s="200" t="str">
        <f>IF(COUNTA(SalCommune[[#This Row],[N°]:[heures annuelles
selon contrat(s)]])=0,"",REVEX!$E$9)</f>
        <v/>
      </c>
      <c r="AH204" s="73" t="str">
        <f>IF(SalCommune[[#This Row],[Allocations fonctions]]="","",IF(ISNA(VLOOKUP(SalCommune[[#This Row],[Allocations fonctions]],DROPDOWN[Dropdown82],1,FALSE))=TRUE,"&lt;-- Veuillez choisir l'allocation parmis la liste déroulante.",""))</f>
        <v/>
      </c>
    </row>
    <row r="205" spans="1:34" x14ac:dyDescent="0.25">
      <c r="A205" s="73" t="str">
        <f>IF(SalCommune[[#This Row],[Statut]]="","",IF(ISNA(VLOOKUP(SalCommune[[#This Row],[Statut]],'Grille communale'!$B$3:$B$5,1,FALSE))=TRUE,"Veuillez choisir le statut parmis la liste déroulante",""))</f>
        <v/>
      </c>
      <c r="B205" s="8"/>
      <c r="C205" s="8"/>
      <c r="D205" s="8"/>
      <c r="E205" s="21"/>
      <c r="F205" s="8"/>
      <c r="G205" s="8"/>
      <c r="H205" s="9"/>
      <c r="I205" s="9"/>
      <c r="J205" s="9"/>
      <c r="K205" s="10"/>
      <c r="L205" s="10"/>
      <c r="M205" s="9"/>
      <c r="N205" s="9"/>
      <c r="O205" s="9"/>
      <c r="P205"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05" s="9"/>
      <c r="R205" s="9"/>
      <c r="S205" s="38"/>
      <c r="T205" s="38"/>
      <c r="U205" s="38"/>
      <c r="V205" s="38"/>
      <c r="W205" s="38"/>
      <c r="X205" s="67" t="str">
        <f>IF(COUNTA(SalCommune[[#This Row],[N°]:[heures annuelles
selon contrat(s)]])=0,"",SalCommune[[#This Row],[Brut]]+SalCommune[[#This Row],[Autres Primes]]+SalCommune[[#This Row],[Part patronale]]-ABS(SalCommune[[#This Row],[Remboursement Mutualité]])-ABS(SalCommune[[#This Row],[Remboursement
Autres]]))</f>
        <v/>
      </c>
      <c r="Y205" s="38"/>
      <c r="Z205"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05" s="8"/>
      <c r="AB205" s="64"/>
      <c r="AC205"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05"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05" s="505"/>
      <c r="AF205" s="187"/>
      <c r="AG205" s="200" t="str">
        <f>IF(COUNTA(SalCommune[[#This Row],[N°]:[heures annuelles
selon contrat(s)]])=0,"",REVEX!$E$9)</f>
        <v/>
      </c>
      <c r="AH205" s="73" t="str">
        <f>IF(SalCommune[[#This Row],[Allocations fonctions]]="","",IF(ISNA(VLOOKUP(SalCommune[[#This Row],[Allocations fonctions]],DROPDOWN[Dropdown82],1,FALSE))=TRUE,"&lt;-- Veuillez choisir l'allocation parmis la liste déroulante.",""))</f>
        <v/>
      </c>
    </row>
    <row r="206" spans="1:34" x14ac:dyDescent="0.25">
      <c r="A206" s="73" t="str">
        <f>IF(SalCommune[[#This Row],[Statut]]="","",IF(ISNA(VLOOKUP(SalCommune[[#This Row],[Statut]],'Grille communale'!$B$3:$B$5,1,FALSE))=TRUE,"Veuillez choisir le statut parmis la liste déroulante",""))</f>
        <v/>
      </c>
      <c r="B206" s="8"/>
      <c r="C206" s="8"/>
      <c r="D206" s="8"/>
      <c r="E206" s="21"/>
      <c r="F206" s="8"/>
      <c r="G206" s="8"/>
      <c r="H206" s="9"/>
      <c r="I206" s="9"/>
      <c r="J206" s="9"/>
      <c r="K206" s="10"/>
      <c r="L206" s="10"/>
      <c r="M206" s="9"/>
      <c r="N206" s="9"/>
      <c r="O206" s="9"/>
      <c r="P206"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06" s="9"/>
      <c r="R206" s="9"/>
      <c r="S206" s="38"/>
      <c r="T206" s="38"/>
      <c r="U206" s="38"/>
      <c r="V206" s="38"/>
      <c r="W206" s="38"/>
      <c r="X206" s="67" t="str">
        <f>IF(COUNTA(SalCommune[[#This Row],[N°]:[heures annuelles
selon contrat(s)]])=0,"",SalCommune[[#This Row],[Brut]]+SalCommune[[#This Row],[Autres Primes]]+SalCommune[[#This Row],[Part patronale]]-ABS(SalCommune[[#This Row],[Remboursement Mutualité]])-ABS(SalCommune[[#This Row],[Remboursement
Autres]]))</f>
        <v/>
      </c>
      <c r="Y206" s="38"/>
      <c r="Z206"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06" s="8"/>
      <c r="AB206" s="64"/>
      <c r="AC206"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06"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06" s="505"/>
      <c r="AF206" s="187"/>
      <c r="AG206" s="200" t="str">
        <f>IF(COUNTA(SalCommune[[#This Row],[N°]:[heures annuelles
selon contrat(s)]])=0,"",REVEX!$E$9)</f>
        <v/>
      </c>
      <c r="AH206" s="73" t="str">
        <f>IF(SalCommune[[#This Row],[Allocations fonctions]]="","",IF(ISNA(VLOOKUP(SalCommune[[#This Row],[Allocations fonctions]],DROPDOWN[Dropdown82],1,FALSE))=TRUE,"&lt;-- Veuillez choisir l'allocation parmis la liste déroulante.",""))</f>
        <v/>
      </c>
    </row>
    <row r="207" spans="1:34" x14ac:dyDescent="0.25">
      <c r="A207" s="73" t="str">
        <f>IF(SalCommune[[#This Row],[Statut]]="","",IF(ISNA(VLOOKUP(SalCommune[[#This Row],[Statut]],'Grille communale'!$B$3:$B$5,1,FALSE))=TRUE,"Veuillez choisir le statut parmis la liste déroulante",""))</f>
        <v/>
      </c>
      <c r="B207" s="8"/>
      <c r="C207" s="8"/>
      <c r="D207" s="8"/>
      <c r="E207" s="21"/>
      <c r="F207" s="8"/>
      <c r="G207" s="8"/>
      <c r="H207" s="9"/>
      <c r="I207" s="9"/>
      <c r="J207" s="9"/>
      <c r="K207" s="10"/>
      <c r="L207" s="10"/>
      <c r="M207" s="9"/>
      <c r="N207" s="9"/>
      <c r="O207" s="9"/>
      <c r="P207"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07" s="9"/>
      <c r="R207" s="9"/>
      <c r="S207" s="38"/>
      <c r="T207" s="38"/>
      <c r="U207" s="38"/>
      <c r="V207" s="38"/>
      <c r="W207" s="38"/>
      <c r="X207" s="67" t="str">
        <f>IF(COUNTA(SalCommune[[#This Row],[N°]:[heures annuelles
selon contrat(s)]])=0,"",SalCommune[[#This Row],[Brut]]+SalCommune[[#This Row],[Autres Primes]]+SalCommune[[#This Row],[Part patronale]]-ABS(SalCommune[[#This Row],[Remboursement Mutualité]])-ABS(SalCommune[[#This Row],[Remboursement
Autres]]))</f>
        <v/>
      </c>
      <c r="Y207" s="38"/>
      <c r="Z207"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07" s="8"/>
      <c r="AB207" s="64"/>
      <c r="AC207"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07"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07" s="505"/>
      <c r="AF207" s="187"/>
      <c r="AG207" s="200" t="str">
        <f>IF(COUNTA(SalCommune[[#This Row],[N°]:[heures annuelles
selon contrat(s)]])=0,"",REVEX!$E$9)</f>
        <v/>
      </c>
      <c r="AH207" s="73" t="str">
        <f>IF(SalCommune[[#This Row],[Allocations fonctions]]="","",IF(ISNA(VLOOKUP(SalCommune[[#This Row],[Allocations fonctions]],DROPDOWN[Dropdown82],1,FALSE))=TRUE,"&lt;-- Veuillez choisir l'allocation parmis la liste déroulante.",""))</f>
        <v/>
      </c>
    </row>
    <row r="208" spans="1:34" x14ac:dyDescent="0.25">
      <c r="A208" s="73" t="str">
        <f>IF(SalCommune[[#This Row],[Statut]]="","",IF(ISNA(VLOOKUP(SalCommune[[#This Row],[Statut]],'Grille communale'!$B$3:$B$5,1,FALSE))=TRUE,"Veuillez choisir le statut parmis la liste déroulante",""))</f>
        <v/>
      </c>
      <c r="B208" s="8"/>
      <c r="C208" s="8"/>
      <c r="D208" s="8"/>
      <c r="E208" s="21"/>
      <c r="F208" s="8"/>
      <c r="G208" s="8"/>
      <c r="H208" s="9"/>
      <c r="I208" s="9"/>
      <c r="J208" s="9"/>
      <c r="K208" s="10"/>
      <c r="L208" s="10"/>
      <c r="M208" s="9"/>
      <c r="N208" s="9"/>
      <c r="O208" s="9"/>
      <c r="P208"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08" s="9"/>
      <c r="R208" s="9"/>
      <c r="S208" s="38"/>
      <c r="T208" s="38"/>
      <c r="U208" s="38"/>
      <c r="V208" s="38"/>
      <c r="W208" s="38"/>
      <c r="X208" s="67" t="str">
        <f>IF(COUNTA(SalCommune[[#This Row],[N°]:[heures annuelles
selon contrat(s)]])=0,"",SalCommune[[#This Row],[Brut]]+SalCommune[[#This Row],[Autres Primes]]+SalCommune[[#This Row],[Part patronale]]-ABS(SalCommune[[#This Row],[Remboursement Mutualité]])-ABS(SalCommune[[#This Row],[Remboursement
Autres]]))</f>
        <v/>
      </c>
      <c r="Y208" s="38"/>
      <c r="Z208"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08" s="8"/>
      <c r="AB208" s="64"/>
      <c r="AC208"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08"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08" s="505"/>
      <c r="AF208" s="187"/>
      <c r="AG208" s="200" t="str">
        <f>IF(COUNTA(SalCommune[[#This Row],[N°]:[heures annuelles
selon contrat(s)]])=0,"",REVEX!$E$9)</f>
        <v/>
      </c>
      <c r="AH208" s="73" t="str">
        <f>IF(SalCommune[[#This Row],[Allocations fonctions]]="","",IF(ISNA(VLOOKUP(SalCommune[[#This Row],[Allocations fonctions]],DROPDOWN[Dropdown82],1,FALSE))=TRUE,"&lt;-- Veuillez choisir l'allocation parmis la liste déroulante.",""))</f>
        <v/>
      </c>
    </row>
    <row r="209" spans="1:34" x14ac:dyDescent="0.25">
      <c r="A209" s="73" t="str">
        <f>IF(SalCommune[[#This Row],[Statut]]="","",IF(ISNA(VLOOKUP(SalCommune[[#This Row],[Statut]],'Grille communale'!$B$3:$B$5,1,FALSE))=TRUE,"Veuillez choisir le statut parmis la liste déroulante",""))</f>
        <v/>
      </c>
      <c r="B209" s="8"/>
      <c r="C209" s="8"/>
      <c r="D209" s="8"/>
      <c r="E209" s="21"/>
      <c r="F209" s="8"/>
      <c r="G209" s="8"/>
      <c r="H209" s="9"/>
      <c r="I209" s="9"/>
      <c r="J209" s="9"/>
      <c r="K209" s="10"/>
      <c r="L209" s="10"/>
      <c r="M209" s="9"/>
      <c r="N209" s="9"/>
      <c r="O209" s="9"/>
      <c r="P209"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09" s="9"/>
      <c r="R209" s="9"/>
      <c r="S209" s="38"/>
      <c r="T209" s="38"/>
      <c r="U209" s="38"/>
      <c r="V209" s="38"/>
      <c r="W209" s="38"/>
      <c r="X209" s="67" t="str">
        <f>IF(COUNTA(SalCommune[[#This Row],[N°]:[heures annuelles
selon contrat(s)]])=0,"",SalCommune[[#This Row],[Brut]]+SalCommune[[#This Row],[Autres Primes]]+SalCommune[[#This Row],[Part patronale]]-ABS(SalCommune[[#This Row],[Remboursement Mutualité]])-ABS(SalCommune[[#This Row],[Remboursement
Autres]]))</f>
        <v/>
      </c>
      <c r="Y209" s="38"/>
      <c r="Z209"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09" s="8"/>
      <c r="AB209" s="64"/>
      <c r="AC209"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09"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09" s="505"/>
      <c r="AF209" s="187"/>
      <c r="AG209" s="200" t="str">
        <f>IF(COUNTA(SalCommune[[#This Row],[N°]:[heures annuelles
selon contrat(s)]])=0,"",REVEX!$E$9)</f>
        <v/>
      </c>
      <c r="AH209" s="73" t="str">
        <f>IF(SalCommune[[#This Row],[Allocations fonctions]]="","",IF(ISNA(VLOOKUP(SalCommune[[#This Row],[Allocations fonctions]],DROPDOWN[Dropdown82],1,FALSE))=TRUE,"&lt;-- Veuillez choisir l'allocation parmis la liste déroulante.",""))</f>
        <v/>
      </c>
    </row>
    <row r="210" spans="1:34" x14ac:dyDescent="0.25">
      <c r="A210" s="73" t="str">
        <f>IF(SalCommune[[#This Row],[Statut]]="","",IF(ISNA(VLOOKUP(SalCommune[[#This Row],[Statut]],'Grille communale'!$B$3:$B$5,1,FALSE))=TRUE,"Veuillez choisir le statut parmis la liste déroulante",""))</f>
        <v/>
      </c>
      <c r="B210" s="8"/>
      <c r="C210" s="8"/>
      <c r="D210" s="8"/>
      <c r="E210" s="21"/>
      <c r="F210" s="8"/>
      <c r="G210" s="8"/>
      <c r="H210" s="9"/>
      <c r="I210" s="9"/>
      <c r="J210" s="9"/>
      <c r="K210" s="10"/>
      <c r="L210" s="10"/>
      <c r="M210" s="9"/>
      <c r="N210" s="9"/>
      <c r="O210" s="9"/>
      <c r="P210"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10" s="9"/>
      <c r="R210" s="9"/>
      <c r="S210" s="38"/>
      <c r="T210" s="38"/>
      <c r="U210" s="38"/>
      <c r="V210" s="38"/>
      <c r="W210" s="38"/>
      <c r="X210" s="67" t="str">
        <f>IF(COUNTA(SalCommune[[#This Row],[N°]:[heures annuelles
selon contrat(s)]])=0,"",SalCommune[[#This Row],[Brut]]+SalCommune[[#This Row],[Autres Primes]]+SalCommune[[#This Row],[Part patronale]]-ABS(SalCommune[[#This Row],[Remboursement Mutualité]])-ABS(SalCommune[[#This Row],[Remboursement
Autres]]))</f>
        <v/>
      </c>
      <c r="Y210" s="38"/>
      <c r="Z210"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10" s="8"/>
      <c r="AB210" s="64"/>
      <c r="AC210"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10"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10" s="505"/>
      <c r="AF210" s="187"/>
      <c r="AG210" s="200" t="str">
        <f>IF(COUNTA(SalCommune[[#This Row],[N°]:[heures annuelles
selon contrat(s)]])=0,"",REVEX!$E$9)</f>
        <v/>
      </c>
      <c r="AH210" s="73" t="str">
        <f>IF(SalCommune[[#This Row],[Allocations fonctions]]="","",IF(ISNA(VLOOKUP(SalCommune[[#This Row],[Allocations fonctions]],DROPDOWN[Dropdown82],1,FALSE))=TRUE,"&lt;-- Veuillez choisir l'allocation parmis la liste déroulante.",""))</f>
        <v/>
      </c>
    </row>
    <row r="211" spans="1:34" x14ac:dyDescent="0.25">
      <c r="A211" s="73" t="str">
        <f>IF(SalCommune[[#This Row],[Statut]]="","",IF(ISNA(VLOOKUP(SalCommune[[#This Row],[Statut]],'Grille communale'!$B$3:$B$5,1,FALSE))=TRUE,"Veuillez choisir le statut parmis la liste déroulante",""))</f>
        <v/>
      </c>
      <c r="B211" s="8"/>
      <c r="C211" s="8"/>
      <c r="D211" s="8"/>
      <c r="E211" s="21"/>
      <c r="F211" s="8"/>
      <c r="G211" s="8"/>
      <c r="H211" s="9"/>
      <c r="I211" s="9"/>
      <c r="J211" s="9"/>
      <c r="K211" s="10"/>
      <c r="L211" s="10"/>
      <c r="M211" s="9"/>
      <c r="N211" s="9"/>
      <c r="O211" s="9"/>
      <c r="P211"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11" s="9"/>
      <c r="R211" s="9"/>
      <c r="S211" s="38"/>
      <c r="T211" s="38"/>
      <c r="U211" s="38"/>
      <c r="V211" s="38"/>
      <c r="W211" s="38"/>
      <c r="X211" s="67" t="str">
        <f>IF(COUNTA(SalCommune[[#This Row],[N°]:[heures annuelles
selon contrat(s)]])=0,"",SalCommune[[#This Row],[Brut]]+SalCommune[[#This Row],[Autres Primes]]+SalCommune[[#This Row],[Part patronale]]-ABS(SalCommune[[#This Row],[Remboursement Mutualité]])-ABS(SalCommune[[#This Row],[Remboursement
Autres]]))</f>
        <v/>
      </c>
      <c r="Y211" s="38"/>
      <c r="Z211"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11" s="8"/>
      <c r="AB211" s="64"/>
      <c r="AC211"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11"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11" s="505"/>
      <c r="AF211" s="187"/>
      <c r="AG211" s="200" t="str">
        <f>IF(COUNTA(SalCommune[[#This Row],[N°]:[heures annuelles
selon contrat(s)]])=0,"",REVEX!$E$9)</f>
        <v/>
      </c>
      <c r="AH211" s="73" t="str">
        <f>IF(SalCommune[[#This Row],[Allocations fonctions]]="","",IF(ISNA(VLOOKUP(SalCommune[[#This Row],[Allocations fonctions]],DROPDOWN[Dropdown82],1,FALSE))=TRUE,"&lt;-- Veuillez choisir l'allocation parmis la liste déroulante.",""))</f>
        <v/>
      </c>
    </row>
    <row r="212" spans="1:34" x14ac:dyDescent="0.25">
      <c r="A212" s="73" t="str">
        <f>IF(SalCommune[[#This Row],[Statut]]="","",IF(ISNA(VLOOKUP(SalCommune[[#This Row],[Statut]],'Grille communale'!$B$3:$B$5,1,FALSE))=TRUE,"Veuillez choisir le statut parmis la liste déroulante",""))</f>
        <v/>
      </c>
      <c r="B212" s="8"/>
      <c r="C212" s="8"/>
      <c r="D212" s="8"/>
      <c r="E212" s="21"/>
      <c r="F212" s="8"/>
      <c r="G212" s="8"/>
      <c r="H212" s="9"/>
      <c r="I212" s="9"/>
      <c r="J212" s="9"/>
      <c r="K212" s="10"/>
      <c r="L212" s="10"/>
      <c r="M212" s="9"/>
      <c r="N212" s="9"/>
      <c r="O212" s="9"/>
      <c r="P212"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12" s="9"/>
      <c r="R212" s="9"/>
      <c r="S212" s="38"/>
      <c r="T212" s="38"/>
      <c r="U212" s="38"/>
      <c r="V212" s="38"/>
      <c r="W212" s="38"/>
      <c r="X212" s="67" t="str">
        <f>IF(COUNTA(SalCommune[[#This Row],[N°]:[heures annuelles
selon contrat(s)]])=0,"",SalCommune[[#This Row],[Brut]]+SalCommune[[#This Row],[Autres Primes]]+SalCommune[[#This Row],[Part patronale]]-ABS(SalCommune[[#This Row],[Remboursement Mutualité]])-ABS(SalCommune[[#This Row],[Remboursement
Autres]]))</f>
        <v/>
      </c>
      <c r="Y212" s="38"/>
      <c r="Z212"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12" s="8"/>
      <c r="AB212" s="64"/>
      <c r="AC212"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12"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12" s="505"/>
      <c r="AF212" s="187"/>
      <c r="AG212" s="200" t="str">
        <f>IF(COUNTA(SalCommune[[#This Row],[N°]:[heures annuelles
selon contrat(s)]])=0,"",REVEX!$E$9)</f>
        <v/>
      </c>
      <c r="AH212" s="73" t="str">
        <f>IF(SalCommune[[#This Row],[Allocations fonctions]]="","",IF(ISNA(VLOOKUP(SalCommune[[#This Row],[Allocations fonctions]],DROPDOWN[Dropdown82],1,FALSE))=TRUE,"&lt;-- Veuillez choisir l'allocation parmis la liste déroulante.",""))</f>
        <v/>
      </c>
    </row>
    <row r="213" spans="1:34" x14ac:dyDescent="0.25">
      <c r="A213" s="73" t="str">
        <f>IF(SalCommune[[#This Row],[Statut]]="","",IF(ISNA(VLOOKUP(SalCommune[[#This Row],[Statut]],'Grille communale'!$B$3:$B$5,1,FALSE))=TRUE,"Veuillez choisir le statut parmis la liste déroulante",""))</f>
        <v/>
      </c>
      <c r="B213" s="8"/>
      <c r="C213" s="8"/>
      <c r="D213" s="8"/>
      <c r="E213" s="21"/>
      <c r="F213" s="8"/>
      <c r="G213" s="8"/>
      <c r="H213" s="9"/>
      <c r="I213" s="9"/>
      <c r="J213" s="9"/>
      <c r="K213" s="10"/>
      <c r="L213" s="10"/>
      <c r="M213" s="9"/>
      <c r="N213" s="9"/>
      <c r="O213" s="9"/>
      <c r="P213"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13" s="9"/>
      <c r="R213" s="9"/>
      <c r="S213" s="38"/>
      <c r="T213" s="38"/>
      <c r="U213" s="38"/>
      <c r="V213" s="38"/>
      <c r="W213" s="38"/>
      <c r="X213" s="67" t="str">
        <f>IF(COUNTA(SalCommune[[#This Row],[N°]:[heures annuelles
selon contrat(s)]])=0,"",SalCommune[[#This Row],[Brut]]+SalCommune[[#This Row],[Autres Primes]]+SalCommune[[#This Row],[Part patronale]]-ABS(SalCommune[[#This Row],[Remboursement Mutualité]])-ABS(SalCommune[[#This Row],[Remboursement
Autres]]))</f>
        <v/>
      </c>
      <c r="Y213" s="38"/>
      <c r="Z213"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13" s="8"/>
      <c r="AB213" s="64"/>
      <c r="AC213"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13"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13" s="505"/>
      <c r="AF213" s="187"/>
      <c r="AG213" s="200" t="str">
        <f>IF(COUNTA(SalCommune[[#This Row],[N°]:[heures annuelles
selon contrat(s)]])=0,"",REVEX!$E$9)</f>
        <v/>
      </c>
      <c r="AH213" s="73" t="str">
        <f>IF(SalCommune[[#This Row],[Allocations fonctions]]="","",IF(ISNA(VLOOKUP(SalCommune[[#This Row],[Allocations fonctions]],DROPDOWN[Dropdown82],1,FALSE))=TRUE,"&lt;-- Veuillez choisir l'allocation parmis la liste déroulante.",""))</f>
        <v/>
      </c>
    </row>
    <row r="214" spans="1:34" x14ac:dyDescent="0.25">
      <c r="A214" s="73" t="str">
        <f>IF(SalCommune[[#This Row],[Statut]]="","",IF(ISNA(VLOOKUP(SalCommune[[#This Row],[Statut]],'Grille communale'!$B$3:$B$5,1,FALSE))=TRUE,"Veuillez choisir le statut parmis la liste déroulante",""))</f>
        <v/>
      </c>
      <c r="B214" s="8"/>
      <c r="C214" s="8"/>
      <c r="D214" s="8"/>
      <c r="E214" s="21"/>
      <c r="F214" s="8"/>
      <c r="G214" s="8"/>
      <c r="H214" s="9"/>
      <c r="I214" s="9"/>
      <c r="J214" s="9"/>
      <c r="K214" s="10"/>
      <c r="L214" s="10"/>
      <c r="M214" s="9"/>
      <c r="N214" s="9"/>
      <c r="O214" s="9"/>
      <c r="P214"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14" s="9"/>
      <c r="R214" s="9"/>
      <c r="S214" s="38"/>
      <c r="T214" s="38"/>
      <c r="U214" s="38"/>
      <c r="V214" s="38"/>
      <c r="W214" s="38"/>
      <c r="X214" s="67" t="str">
        <f>IF(COUNTA(SalCommune[[#This Row],[N°]:[heures annuelles
selon contrat(s)]])=0,"",SalCommune[[#This Row],[Brut]]+SalCommune[[#This Row],[Autres Primes]]+SalCommune[[#This Row],[Part patronale]]-ABS(SalCommune[[#This Row],[Remboursement Mutualité]])-ABS(SalCommune[[#This Row],[Remboursement
Autres]]))</f>
        <v/>
      </c>
      <c r="Y214" s="38"/>
      <c r="Z214"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14" s="8"/>
      <c r="AB214" s="64"/>
      <c r="AC214"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14"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14" s="505"/>
      <c r="AF214" s="187"/>
      <c r="AG214" s="200" t="str">
        <f>IF(COUNTA(SalCommune[[#This Row],[N°]:[heures annuelles
selon contrat(s)]])=0,"",REVEX!$E$9)</f>
        <v/>
      </c>
      <c r="AH214" s="73" t="str">
        <f>IF(SalCommune[[#This Row],[Allocations fonctions]]="","",IF(ISNA(VLOOKUP(SalCommune[[#This Row],[Allocations fonctions]],DROPDOWN[Dropdown82],1,FALSE))=TRUE,"&lt;-- Veuillez choisir l'allocation parmis la liste déroulante.",""))</f>
        <v/>
      </c>
    </row>
    <row r="215" spans="1:34" x14ac:dyDescent="0.25">
      <c r="A215" s="73" t="str">
        <f>IF(SalCommune[[#This Row],[Statut]]="","",IF(ISNA(VLOOKUP(SalCommune[[#This Row],[Statut]],'Grille communale'!$B$3:$B$5,1,FALSE))=TRUE,"Veuillez choisir le statut parmis la liste déroulante",""))</f>
        <v/>
      </c>
      <c r="B215" s="8"/>
      <c r="C215" s="8"/>
      <c r="D215" s="8"/>
      <c r="E215" s="21"/>
      <c r="F215" s="8"/>
      <c r="G215" s="8"/>
      <c r="H215" s="9"/>
      <c r="I215" s="9"/>
      <c r="J215" s="9"/>
      <c r="K215" s="10"/>
      <c r="L215" s="10"/>
      <c r="M215" s="9"/>
      <c r="N215" s="9"/>
      <c r="O215" s="9"/>
      <c r="P215"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15" s="9"/>
      <c r="R215" s="9"/>
      <c r="S215" s="38"/>
      <c r="T215" s="38"/>
      <c r="U215" s="38"/>
      <c r="V215" s="38"/>
      <c r="W215" s="38"/>
      <c r="X215" s="67" t="str">
        <f>IF(COUNTA(SalCommune[[#This Row],[N°]:[heures annuelles
selon contrat(s)]])=0,"",SalCommune[[#This Row],[Brut]]+SalCommune[[#This Row],[Autres Primes]]+SalCommune[[#This Row],[Part patronale]]-ABS(SalCommune[[#This Row],[Remboursement Mutualité]])-ABS(SalCommune[[#This Row],[Remboursement
Autres]]))</f>
        <v/>
      </c>
      <c r="Y215" s="38"/>
      <c r="Z215"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15" s="8"/>
      <c r="AB215" s="64"/>
      <c r="AC215"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15"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15" s="505"/>
      <c r="AF215" s="187"/>
      <c r="AG215" s="200" t="str">
        <f>IF(COUNTA(SalCommune[[#This Row],[N°]:[heures annuelles
selon contrat(s)]])=0,"",REVEX!$E$9)</f>
        <v/>
      </c>
      <c r="AH215" s="73" t="str">
        <f>IF(SalCommune[[#This Row],[Allocations fonctions]]="","",IF(ISNA(VLOOKUP(SalCommune[[#This Row],[Allocations fonctions]],DROPDOWN[Dropdown82],1,FALSE))=TRUE,"&lt;-- Veuillez choisir l'allocation parmis la liste déroulante.",""))</f>
        <v/>
      </c>
    </row>
    <row r="216" spans="1:34" x14ac:dyDescent="0.25">
      <c r="A216" s="73" t="str">
        <f>IF(SalCommune[[#This Row],[Statut]]="","",IF(ISNA(VLOOKUP(SalCommune[[#This Row],[Statut]],'Grille communale'!$B$3:$B$5,1,FALSE))=TRUE,"Veuillez choisir le statut parmis la liste déroulante",""))</f>
        <v/>
      </c>
      <c r="B216" s="8"/>
      <c r="C216" s="8"/>
      <c r="D216" s="8"/>
      <c r="E216" s="21"/>
      <c r="F216" s="8"/>
      <c r="G216" s="8"/>
      <c r="H216" s="9"/>
      <c r="I216" s="9"/>
      <c r="J216" s="9"/>
      <c r="K216" s="10"/>
      <c r="L216" s="10"/>
      <c r="M216" s="9"/>
      <c r="N216" s="9"/>
      <c r="O216" s="9"/>
      <c r="P216"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16" s="9"/>
      <c r="R216" s="9"/>
      <c r="S216" s="38"/>
      <c r="T216" s="38"/>
      <c r="U216" s="38"/>
      <c r="V216" s="38"/>
      <c r="W216" s="38"/>
      <c r="X216" s="67" t="str">
        <f>IF(COUNTA(SalCommune[[#This Row],[N°]:[heures annuelles
selon contrat(s)]])=0,"",SalCommune[[#This Row],[Brut]]+SalCommune[[#This Row],[Autres Primes]]+SalCommune[[#This Row],[Part patronale]]-ABS(SalCommune[[#This Row],[Remboursement Mutualité]])-ABS(SalCommune[[#This Row],[Remboursement
Autres]]))</f>
        <v/>
      </c>
      <c r="Y216" s="38"/>
      <c r="Z216"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16" s="8"/>
      <c r="AB216" s="64"/>
      <c r="AC216"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16"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16" s="505"/>
      <c r="AF216" s="187"/>
      <c r="AG216" s="200" t="str">
        <f>IF(COUNTA(SalCommune[[#This Row],[N°]:[heures annuelles
selon contrat(s)]])=0,"",REVEX!$E$9)</f>
        <v/>
      </c>
      <c r="AH216" s="73" t="str">
        <f>IF(SalCommune[[#This Row],[Allocations fonctions]]="","",IF(ISNA(VLOOKUP(SalCommune[[#This Row],[Allocations fonctions]],DROPDOWN[Dropdown82],1,FALSE))=TRUE,"&lt;-- Veuillez choisir l'allocation parmis la liste déroulante.",""))</f>
        <v/>
      </c>
    </row>
    <row r="217" spans="1:34" x14ac:dyDescent="0.25">
      <c r="A217" s="73" t="str">
        <f>IF(SalCommune[[#This Row],[Statut]]="","",IF(ISNA(VLOOKUP(SalCommune[[#This Row],[Statut]],'Grille communale'!$B$3:$B$5,1,FALSE))=TRUE,"Veuillez choisir le statut parmis la liste déroulante",""))</f>
        <v/>
      </c>
      <c r="B217" s="8"/>
      <c r="C217" s="8"/>
      <c r="D217" s="8"/>
      <c r="E217" s="21"/>
      <c r="F217" s="8"/>
      <c r="G217" s="8"/>
      <c r="H217" s="9"/>
      <c r="I217" s="9"/>
      <c r="J217" s="9"/>
      <c r="K217" s="10"/>
      <c r="L217" s="10"/>
      <c r="M217" s="9"/>
      <c r="N217" s="9"/>
      <c r="O217" s="9"/>
      <c r="P217"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17" s="9"/>
      <c r="R217" s="9"/>
      <c r="S217" s="38"/>
      <c r="T217" s="38"/>
      <c r="U217" s="38"/>
      <c r="V217" s="38"/>
      <c r="W217" s="38"/>
      <c r="X217" s="67" t="str">
        <f>IF(COUNTA(SalCommune[[#This Row],[N°]:[heures annuelles
selon contrat(s)]])=0,"",SalCommune[[#This Row],[Brut]]+SalCommune[[#This Row],[Autres Primes]]+SalCommune[[#This Row],[Part patronale]]-ABS(SalCommune[[#This Row],[Remboursement Mutualité]])-ABS(SalCommune[[#This Row],[Remboursement
Autres]]))</f>
        <v/>
      </c>
      <c r="Y217" s="38"/>
      <c r="Z217"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17" s="8"/>
      <c r="AB217" s="64"/>
      <c r="AC217"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17"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17" s="505"/>
      <c r="AF217" s="187"/>
      <c r="AG217" s="200" t="str">
        <f>IF(COUNTA(SalCommune[[#This Row],[N°]:[heures annuelles
selon contrat(s)]])=0,"",REVEX!$E$9)</f>
        <v/>
      </c>
      <c r="AH217" s="73" t="str">
        <f>IF(SalCommune[[#This Row],[Allocations fonctions]]="","",IF(ISNA(VLOOKUP(SalCommune[[#This Row],[Allocations fonctions]],DROPDOWN[Dropdown82],1,FALSE))=TRUE,"&lt;-- Veuillez choisir l'allocation parmis la liste déroulante.",""))</f>
        <v/>
      </c>
    </row>
    <row r="218" spans="1:34" x14ac:dyDescent="0.25">
      <c r="A218" s="73" t="str">
        <f>IF(SalCommune[[#This Row],[Statut]]="","",IF(ISNA(VLOOKUP(SalCommune[[#This Row],[Statut]],'Grille communale'!$B$3:$B$5,1,FALSE))=TRUE,"Veuillez choisir le statut parmis la liste déroulante",""))</f>
        <v/>
      </c>
      <c r="B218" s="8"/>
      <c r="C218" s="8"/>
      <c r="D218" s="8"/>
      <c r="E218" s="21"/>
      <c r="F218" s="8"/>
      <c r="G218" s="8"/>
      <c r="H218" s="9"/>
      <c r="I218" s="9"/>
      <c r="J218" s="9"/>
      <c r="K218" s="10"/>
      <c r="L218" s="10"/>
      <c r="M218" s="9"/>
      <c r="N218" s="9"/>
      <c r="O218" s="9"/>
      <c r="P218"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18" s="9"/>
      <c r="R218" s="9"/>
      <c r="S218" s="38"/>
      <c r="T218" s="38"/>
      <c r="U218" s="38"/>
      <c r="V218" s="38"/>
      <c r="W218" s="38"/>
      <c r="X218" s="67" t="str">
        <f>IF(COUNTA(SalCommune[[#This Row],[N°]:[heures annuelles
selon contrat(s)]])=0,"",SalCommune[[#This Row],[Brut]]+SalCommune[[#This Row],[Autres Primes]]+SalCommune[[#This Row],[Part patronale]]-ABS(SalCommune[[#This Row],[Remboursement Mutualité]])-ABS(SalCommune[[#This Row],[Remboursement
Autres]]))</f>
        <v/>
      </c>
      <c r="Y218" s="38"/>
      <c r="Z218"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18" s="8"/>
      <c r="AB218" s="64"/>
      <c r="AC218"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18"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18" s="505"/>
      <c r="AF218" s="187"/>
      <c r="AG218" s="200" t="str">
        <f>IF(COUNTA(SalCommune[[#This Row],[N°]:[heures annuelles
selon contrat(s)]])=0,"",REVEX!$E$9)</f>
        <v/>
      </c>
      <c r="AH218" s="73" t="str">
        <f>IF(SalCommune[[#This Row],[Allocations fonctions]]="","",IF(ISNA(VLOOKUP(SalCommune[[#This Row],[Allocations fonctions]],DROPDOWN[Dropdown82],1,FALSE))=TRUE,"&lt;-- Veuillez choisir l'allocation parmis la liste déroulante.",""))</f>
        <v/>
      </c>
    </row>
    <row r="219" spans="1:34" x14ac:dyDescent="0.25">
      <c r="A219" s="73" t="str">
        <f>IF(SalCommune[[#This Row],[Statut]]="","",IF(ISNA(VLOOKUP(SalCommune[[#This Row],[Statut]],'Grille communale'!$B$3:$B$5,1,FALSE))=TRUE,"Veuillez choisir le statut parmis la liste déroulante",""))</f>
        <v/>
      </c>
      <c r="B219" s="8"/>
      <c r="C219" s="8"/>
      <c r="D219" s="8"/>
      <c r="E219" s="21"/>
      <c r="F219" s="8"/>
      <c r="G219" s="8"/>
      <c r="H219" s="9"/>
      <c r="I219" s="9"/>
      <c r="J219" s="9"/>
      <c r="K219" s="10"/>
      <c r="L219" s="10"/>
      <c r="M219" s="9"/>
      <c r="N219" s="9"/>
      <c r="O219" s="9"/>
      <c r="P219"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19" s="9"/>
      <c r="R219" s="9"/>
      <c r="S219" s="38"/>
      <c r="T219" s="38"/>
      <c r="U219" s="38"/>
      <c r="V219" s="38"/>
      <c r="W219" s="38"/>
      <c r="X219" s="67" t="str">
        <f>IF(COUNTA(SalCommune[[#This Row],[N°]:[heures annuelles
selon contrat(s)]])=0,"",SalCommune[[#This Row],[Brut]]+SalCommune[[#This Row],[Autres Primes]]+SalCommune[[#This Row],[Part patronale]]-ABS(SalCommune[[#This Row],[Remboursement Mutualité]])-ABS(SalCommune[[#This Row],[Remboursement
Autres]]))</f>
        <v/>
      </c>
      <c r="Y219" s="38"/>
      <c r="Z219"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19" s="8"/>
      <c r="AB219" s="64"/>
      <c r="AC219"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19"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19" s="505"/>
      <c r="AF219" s="187"/>
      <c r="AG219" s="200" t="str">
        <f>IF(COUNTA(SalCommune[[#This Row],[N°]:[heures annuelles
selon contrat(s)]])=0,"",REVEX!$E$9)</f>
        <v/>
      </c>
      <c r="AH219" s="73" t="str">
        <f>IF(SalCommune[[#This Row],[Allocations fonctions]]="","",IF(ISNA(VLOOKUP(SalCommune[[#This Row],[Allocations fonctions]],DROPDOWN[Dropdown82],1,FALSE))=TRUE,"&lt;-- Veuillez choisir l'allocation parmis la liste déroulante.",""))</f>
        <v/>
      </c>
    </row>
    <row r="220" spans="1:34" x14ac:dyDescent="0.25">
      <c r="A220" s="73" t="str">
        <f>IF(SalCommune[[#This Row],[Statut]]="","",IF(ISNA(VLOOKUP(SalCommune[[#This Row],[Statut]],'Grille communale'!$B$3:$B$5,1,FALSE))=TRUE,"Veuillez choisir le statut parmis la liste déroulante",""))</f>
        <v/>
      </c>
      <c r="B220" s="8"/>
      <c r="C220" s="8"/>
      <c r="D220" s="8"/>
      <c r="E220" s="21"/>
      <c r="F220" s="8"/>
      <c r="G220" s="8"/>
      <c r="H220" s="9"/>
      <c r="I220" s="9"/>
      <c r="J220" s="9"/>
      <c r="K220" s="10"/>
      <c r="L220" s="10"/>
      <c r="M220" s="9"/>
      <c r="N220" s="9"/>
      <c r="O220" s="9"/>
      <c r="P220"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20" s="9"/>
      <c r="R220" s="9"/>
      <c r="S220" s="38"/>
      <c r="T220" s="38"/>
      <c r="U220" s="38"/>
      <c r="V220" s="38"/>
      <c r="W220" s="38"/>
      <c r="X220" s="67" t="str">
        <f>IF(COUNTA(SalCommune[[#This Row],[N°]:[heures annuelles
selon contrat(s)]])=0,"",SalCommune[[#This Row],[Brut]]+SalCommune[[#This Row],[Autres Primes]]+SalCommune[[#This Row],[Part patronale]]-ABS(SalCommune[[#This Row],[Remboursement Mutualité]])-ABS(SalCommune[[#This Row],[Remboursement
Autres]]))</f>
        <v/>
      </c>
      <c r="Y220" s="38"/>
      <c r="Z220"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20" s="8"/>
      <c r="AB220" s="64"/>
      <c r="AC220"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20"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20" s="505"/>
      <c r="AF220" s="187"/>
      <c r="AG220" s="200" t="str">
        <f>IF(COUNTA(SalCommune[[#This Row],[N°]:[heures annuelles
selon contrat(s)]])=0,"",REVEX!$E$9)</f>
        <v/>
      </c>
      <c r="AH220" s="73" t="str">
        <f>IF(SalCommune[[#This Row],[Allocations fonctions]]="","",IF(ISNA(VLOOKUP(SalCommune[[#This Row],[Allocations fonctions]],DROPDOWN[Dropdown82],1,FALSE))=TRUE,"&lt;-- Veuillez choisir l'allocation parmis la liste déroulante.",""))</f>
        <v/>
      </c>
    </row>
    <row r="221" spans="1:34" x14ac:dyDescent="0.25">
      <c r="A221" s="73" t="str">
        <f>IF(SalCommune[[#This Row],[Statut]]="","",IF(ISNA(VLOOKUP(SalCommune[[#This Row],[Statut]],'Grille communale'!$B$3:$B$5,1,FALSE))=TRUE,"Veuillez choisir le statut parmis la liste déroulante",""))</f>
        <v/>
      </c>
      <c r="B221" s="8"/>
      <c r="C221" s="8"/>
      <c r="D221" s="8"/>
      <c r="E221" s="21"/>
      <c r="F221" s="8"/>
      <c r="G221" s="8"/>
      <c r="H221" s="9"/>
      <c r="I221" s="9"/>
      <c r="J221" s="9"/>
      <c r="K221" s="10"/>
      <c r="L221" s="10"/>
      <c r="M221" s="9"/>
      <c r="N221" s="9"/>
      <c r="O221" s="9"/>
      <c r="P221"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21" s="9"/>
      <c r="R221" s="9"/>
      <c r="S221" s="38"/>
      <c r="T221" s="38"/>
      <c r="U221" s="38"/>
      <c r="V221" s="38"/>
      <c r="W221" s="38"/>
      <c r="X221" s="67" t="str">
        <f>IF(COUNTA(SalCommune[[#This Row],[N°]:[heures annuelles
selon contrat(s)]])=0,"",SalCommune[[#This Row],[Brut]]+SalCommune[[#This Row],[Autres Primes]]+SalCommune[[#This Row],[Part patronale]]-ABS(SalCommune[[#This Row],[Remboursement Mutualité]])-ABS(SalCommune[[#This Row],[Remboursement
Autres]]))</f>
        <v/>
      </c>
      <c r="Y221" s="38"/>
      <c r="Z221"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21" s="8"/>
      <c r="AB221" s="64"/>
      <c r="AC221"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21"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21" s="505"/>
      <c r="AF221" s="187"/>
      <c r="AG221" s="200" t="str">
        <f>IF(COUNTA(SalCommune[[#This Row],[N°]:[heures annuelles
selon contrat(s)]])=0,"",REVEX!$E$9)</f>
        <v/>
      </c>
      <c r="AH221" s="73" t="str">
        <f>IF(SalCommune[[#This Row],[Allocations fonctions]]="","",IF(ISNA(VLOOKUP(SalCommune[[#This Row],[Allocations fonctions]],DROPDOWN[Dropdown82],1,FALSE))=TRUE,"&lt;-- Veuillez choisir l'allocation parmis la liste déroulante.",""))</f>
        <v/>
      </c>
    </row>
    <row r="222" spans="1:34" x14ac:dyDescent="0.25">
      <c r="A222" s="73" t="str">
        <f>IF(SalCommune[[#This Row],[Statut]]="","",IF(ISNA(VLOOKUP(SalCommune[[#This Row],[Statut]],'Grille communale'!$B$3:$B$5,1,FALSE))=TRUE,"Veuillez choisir le statut parmis la liste déroulante",""))</f>
        <v/>
      </c>
      <c r="B222" s="8"/>
      <c r="C222" s="8"/>
      <c r="D222" s="8"/>
      <c r="E222" s="21"/>
      <c r="F222" s="8"/>
      <c r="G222" s="8"/>
      <c r="H222" s="9"/>
      <c r="I222" s="9"/>
      <c r="J222" s="9"/>
      <c r="K222" s="10"/>
      <c r="L222" s="10"/>
      <c r="M222" s="9"/>
      <c r="N222" s="9"/>
      <c r="O222" s="9"/>
      <c r="P222"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22" s="9"/>
      <c r="R222" s="9"/>
      <c r="S222" s="38"/>
      <c r="T222" s="38"/>
      <c r="U222" s="38"/>
      <c r="V222" s="38"/>
      <c r="W222" s="38"/>
      <c r="X222" s="67" t="str">
        <f>IF(COUNTA(SalCommune[[#This Row],[N°]:[heures annuelles
selon contrat(s)]])=0,"",SalCommune[[#This Row],[Brut]]+SalCommune[[#This Row],[Autres Primes]]+SalCommune[[#This Row],[Part patronale]]-ABS(SalCommune[[#This Row],[Remboursement Mutualité]])-ABS(SalCommune[[#This Row],[Remboursement
Autres]]))</f>
        <v/>
      </c>
      <c r="Y222" s="38"/>
      <c r="Z222"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22" s="8"/>
      <c r="AB222" s="64"/>
      <c r="AC222"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22"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22" s="505"/>
      <c r="AF222" s="187"/>
      <c r="AG222" s="200" t="str">
        <f>IF(COUNTA(SalCommune[[#This Row],[N°]:[heures annuelles
selon contrat(s)]])=0,"",REVEX!$E$9)</f>
        <v/>
      </c>
      <c r="AH222" s="73" t="str">
        <f>IF(SalCommune[[#This Row],[Allocations fonctions]]="","",IF(ISNA(VLOOKUP(SalCommune[[#This Row],[Allocations fonctions]],DROPDOWN[Dropdown82],1,FALSE))=TRUE,"&lt;-- Veuillez choisir l'allocation parmis la liste déroulante.",""))</f>
        <v/>
      </c>
    </row>
    <row r="223" spans="1:34" x14ac:dyDescent="0.25">
      <c r="A223" s="73" t="str">
        <f>IF(SalCommune[[#This Row],[Statut]]="","",IF(ISNA(VLOOKUP(SalCommune[[#This Row],[Statut]],'Grille communale'!$B$3:$B$5,1,FALSE))=TRUE,"Veuillez choisir le statut parmis la liste déroulante",""))</f>
        <v/>
      </c>
      <c r="B223" s="8"/>
      <c r="C223" s="8"/>
      <c r="D223" s="8"/>
      <c r="E223" s="21"/>
      <c r="F223" s="8"/>
      <c r="G223" s="8"/>
      <c r="H223" s="9"/>
      <c r="I223" s="9"/>
      <c r="J223" s="9"/>
      <c r="K223" s="10"/>
      <c r="L223" s="10"/>
      <c r="M223" s="9"/>
      <c r="N223" s="9"/>
      <c r="O223" s="9"/>
      <c r="P223"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23" s="9"/>
      <c r="R223" s="9"/>
      <c r="S223" s="38"/>
      <c r="T223" s="38"/>
      <c r="U223" s="38"/>
      <c r="V223" s="38"/>
      <c r="W223" s="38"/>
      <c r="X223" s="67" t="str">
        <f>IF(COUNTA(SalCommune[[#This Row],[N°]:[heures annuelles
selon contrat(s)]])=0,"",SalCommune[[#This Row],[Brut]]+SalCommune[[#This Row],[Autres Primes]]+SalCommune[[#This Row],[Part patronale]]-ABS(SalCommune[[#This Row],[Remboursement Mutualité]])-ABS(SalCommune[[#This Row],[Remboursement
Autres]]))</f>
        <v/>
      </c>
      <c r="Y223" s="38"/>
      <c r="Z223"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23" s="8"/>
      <c r="AB223" s="64"/>
      <c r="AC223"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23"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23" s="505"/>
      <c r="AF223" s="187"/>
      <c r="AG223" s="200" t="str">
        <f>IF(COUNTA(SalCommune[[#This Row],[N°]:[heures annuelles
selon contrat(s)]])=0,"",REVEX!$E$9)</f>
        <v/>
      </c>
      <c r="AH223" s="73" t="str">
        <f>IF(SalCommune[[#This Row],[Allocations fonctions]]="","",IF(ISNA(VLOOKUP(SalCommune[[#This Row],[Allocations fonctions]],DROPDOWN[Dropdown82],1,FALSE))=TRUE,"&lt;-- Veuillez choisir l'allocation parmis la liste déroulante.",""))</f>
        <v/>
      </c>
    </row>
    <row r="224" spans="1:34" x14ac:dyDescent="0.25">
      <c r="A224" s="73" t="str">
        <f>IF(SalCommune[[#This Row],[Statut]]="","",IF(ISNA(VLOOKUP(SalCommune[[#This Row],[Statut]],'Grille communale'!$B$3:$B$5,1,FALSE))=TRUE,"Veuillez choisir le statut parmis la liste déroulante",""))</f>
        <v/>
      </c>
      <c r="B224" s="8"/>
      <c r="C224" s="8"/>
      <c r="D224" s="8"/>
      <c r="E224" s="21"/>
      <c r="F224" s="8"/>
      <c r="G224" s="8"/>
      <c r="H224" s="9"/>
      <c r="I224" s="9"/>
      <c r="J224" s="9"/>
      <c r="K224" s="10"/>
      <c r="L224" s="10"/>
      <c r="M224" s="9"/>
      <c r="N224" s="9"/>
      <c r="O224" s="9"/>
      <c r="P224"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24" s="9"/>
      <c r="R224" s="9"/>
      <c r="S224" s="38"/>
      <c r="T224" s="38"/>
      <c r="U224" s="38"/>
      <c r="V224" s="38"/>
      <c r="W224" s="38"/>
      <c r="X224" s="67" t="str">
        <f>IF(COUNTA(SalCommune[[#This Row],[N°]:[heures annuelles
selon contrat(s)]])=0,"",SalCommune[[#This Row],[Brut]]+SalCommune[[#This Row],[Autres Primes]]+SalCommune[[#This Row],[Part patronale]]-ABS(SalCommune[[#This Row],[Remboursement Mutualité]])-ABS(SalCommune[[#This Row],[Remboursement
Autres]]))</f>
        <v/>
      </c>
      <c r="Y224" s="38"/>
      <c r="Z224"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24" s="8"/>
      <c r="AB224" s="64"/>
      <c r="AC224"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24"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24" s="505"/>
      <c r="AF224" s="187"/>
      <c r="AG224" s="200" t="str">
        <f>IF(COUNTA(SalCommune[[#This Row],[N°]:[heures annuelles
selon contrat(s)]])=0,"",REVEX!$E$9)</f>
        <v/>
      </c>
      <c r="AH224" s="73" t="str">
        <f>IF(SalCommune[[#This Row],[Allocations fonctions]]="","",IF(ISNA(VLOOKUP(SalCommune[[#This Row],[Allocations fonctions]],DROPDOWN[Dropdown82],1,FALSE))=TRUE,"&lt;-- Veuillez choisir l'allocation parmis la liste déroulante.",""))</f>
        <v/>
      </c>
    </row>
    <row r="225" spans="1:34" x14ac:dyDescent="0.25">
      <c r="A225" s="73" t="str">
        <f>IF(SalCommune[[#This Row],[Statut]]="","",IF(ISNA(VLOOKUP(SalCommune[[#This Row],[Statut]],'Grille communale'!$B$3:$B$5,1,FALSE))=TRUE,"Veuillez choisir le statut parmis la liste déroulante",""))</f>
        <v/>
      </c>
      <c r="B225" s="8"/>
      <c r="C225" s="8"/>
      <c r="D225" s="8"/>
      <c r="E225" s="21"/>
      <c r="F225" s="8"/>
      <c r="G225" s="8"/>
      <c r="H225" s="9"/>
      <c r="I225" s="9"/>
      <c r="J225" s="9"/>
      <c r="K225" s="10"/>
      <c r="L225" s="10"/>
      <c r="M225" s="9"/>
      <c r="N225" s="9"/>
      <c r="O225" s="9"/>
      <c r="P225"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25" s="9"/>
      <c r="R225" s="9"/>
      <c r="S225" s="38"/>
      <c r="T225" s="38"/>
      <c r="U225" s="38"/>
      <c r="V225" s="38"/>
      <c r="W225" s="38"/>
      <c r="X225" s="67" t="str">
        <f>IF(COUNTA(SalCommune[[#This Row],[N°]:[heures annuelles
selon contrat(s)]])=0,"",SalCommune[[#This Row],[Brut]]+SalCommune[[#This Row],[Autres Primes]]+SalCommune[[#This Row],[Part patronale]]-ABS(SalCommune[[#This Row],[Remboursement Mutualité]])-ABS(SalCommune[[#This Row],[Remboursement
Autres]]))</f>
        <v/>
      </c>
      <c r="Y225" s="38"/>
      <c r="Z225"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25" s="8"/>
      <c r="AB225" s="64"/>
      <c r="AC225"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25"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25" s="505"/>
      <c r="AF225" s="187"/>
      <c r="AG225" s="200" t="str">
        <f>IF(COUNTA(SalCommune[[#This Row],[N°]:[heures annuelles
selon contrat(s)]])=0,"",REVEX!$E$9)</f>
        <v/>
      </c>
      <c r="AH225" s="73" t="str">
        <f>IF(SalCommune[[#This Row],[Allocations fonctions]]="","",IF(ISNA(VLOOKUP(SalCommune[[#This Row],[Allocations fonctions]],DROPDOWN[Dropdown82],1,FALSE))=TRUE,"&lt;-- Veuillez choisir l'allocation parmis la liste déroulante.",""))</f>
        <v/>
      </c>
    </row>
    <row r="226" spans="1:34" x14ac:dyDescent="0.25">
      <c r="A226" s="73" t="str">
        <f>IF(SalCommune[[#This Row],[Statut]]="","",IF(ISNA(VLOOKUP(SalCommune[[#This Row],[Statut]],'Grille communale'!$B$3:$B$5,1,FALSE))=TRUE,"Veuillez choisir le statut parmis la liste déroulante",""))</f>
        <v/>
      </c>
      <c r="B226" s="8"/>
      <c r="C226" s="8"/>
      <c r="D226" s="8"/>
      <c r="E226" s="21"/>
      <c r="F226" s="8"/>
      <c r="G226" s="8"/>
      <c r="H226" s="9"/>
      <c r="I226" s="9"/>
      <c r="J226" s="9"/>
      <c r="K226" s="10"/>
      <c r="L226" s="10"/>
      <c r="M226" s="9"/>
      <c r="N226" s="9"/>
      <c r="O226" s="9"/>
      <c r="P226"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26" s="9"/>
      <c r="R226" s="9"/>
      <c r="S226" s="38"/>
      <c r="T226" s="38"/>
      <c r="U226" s="38"/>
      <c r="V226" s="38"/>
      <c r="W226" s="38"/>
      <c r="X226" s="67" t="str">
        <f>IF(COUNTA(SalCommune[[#This Row],[N°]:[heures annuelles
selon contrat(s)]])=0,"",SalCommune[[#This Row],[Brut]]+SalCommune[[#This Row],[Autres Primes]]+SalCommune[[#This Row],[Part patronale]]-ABS(SalCommune[[#This Row],[Remboursement Mutualité]])-ABS(SalCommune[[#This Row],[Remboursement
Autres]]))</f>
        <v/>
      </c>
      <c r="Y226" s="38"/>
      <c r="Z226"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26" s="8"/>
      <c r="AB226" s="64"/>
      <c r="AC226"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26"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26" s="505"/>
      <c r="AF226" s="187"/>
      <c r="AG226" s="200" t="str">
        <f>IF(COUNTA(SalCommune[[#This Row],[N°]:[heures annuelles
selon contrat(s)]])=0,"",REVEX!$E$9)</f>
        <v/>
      </c>
      <c r="AH226" s="73" t="str">
        <f>IF(SalCommune[[#This Row],[Allocations fonctions]]="","",IF(ISNA(VLOOKUP(SalCommune[[#This Row],[Allocations fonctions]],DROPDOWN[Dropdown82],1,FALSE))=TRUE,"&lt;-- Veuillez choisir l'allocation parmis la liste déroulante.",""))</f>
        <v/>
      </c>
    </row>
    <row r="227" spans="1:34" x14ac:dyDescent="0.25">
      <c r="A227" s="73" t="str">
        <f>IF(SalCommune[[#This Row],[Statut]]="","",IF(ISNA(VLOOKUP(SalCommune[[#This Row],[Statut]],'Grille communale'!$B$3:$B$5,1,FALSE))=TRUE,"Veuillez choisir le statut parmis la liste déroulante",""))</f>
        <v/>
      </c>
      <c r="B227" s="8"/>
      <c r="C227" s="8"/>
      <c r="D227" s="8"/>
      <c r="E227" s="21"/>
      <c r="F227" s="8"/>
      <c r="G227" s="8"/>
      <c r="H227" s="9"/>
      <c r="I227" s="9"/>
      <c r="J227" s="9"/>
      <c r="K227" s="10"/>
      <c r="L227" s="10"/>
      <c r="M227" s="9"/>
      <c r="N227" s="9"/>
      <c r="O227" s="9"/>
      <c r="P227"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27" s="9"/>
      <c r="R227" s="9"/>
      <c r="S227" s="38"/>
      <c r="T227" s="38"/>
      <c r="U227" s="38"/>
      <c r="V227" s="38"/>
      <c r="W227" s="38"/>
      <c r="X227" s="67" t="str">
        <f>IF(COUNTA(SalCommune[[#This Row],[N°]:[heures annuelles
selon contrat(s)]])=0,"",SalCommune[[#This Row],[Brut]]+SalCommune[[#This Row],[Autres Primes]]+SalCommune[[#This Row],[Part patronale]]-ABS(SalCommune[[#This Row],[Remboursement Mutualité]])-ABS(SalCommune[[#This Row],[Remboursement
Autres]]))</f>
        <v/>
      </c>
      <c r="Y227" s="38"/>
      <c r="Z227"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27" s="8"/>
      <c r="AB227" s="64"/>
      <c r="AC227"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27"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27" s="505"/>
      <c r="AF227" s="187"/>
      <c r="AG227" s="200" t="str">
        <f>IF(COUNTA(SalCommune[[#This Row],[N°]:[heures annuelles
selon contrat(s)]])=0,"",REVEX!$E$9)</f>
        <v/>
      </c>
      <c r="AH227" s="73" t="str">
        <f>IF(SalCommune[[#This Row],[Allocations fonctions]]="","",IF(ISNA(VLOOKUP(SalCommune[[#This Row],[Allocations fonctions]],DROPDOWN[Dropdown82],1,FALSE))=TRUE,"&lt;-- Veuillez choisir l'allocation parmis la liste déroulante.",""))</f>
        <v/>
      </c>
    </row>
    <row r="228" spans="1:34" x14ac:dyDescent="0.25">
      <c r="A228" s="73" t="str">
        <f>IF(SalCommune[[#This Row],[Statut]]="","",IF(ISNA(VLOOKUP(SalCommune[[#This Row],[Statut]],'Grille communale'!$B$3:$B$5,1,FALSE))=TRUE,"Veuillez choisir le statut parmis la liste déroulante",""))</f>
        <v/>
      </c>
      <c r="B228" s="8"/>
      <c r="C228" s="8"/>
      <c r="D228" s="8"/>
      <c r="E228" s="21"/>
      <c r="F228" s="8"/>
      <c r="G228" s="8"/>
      <c r="H228" s="9"/>
      <c r="I228" s="9"/>
      <c r="J228" s="9"/>
      <c r="K228" s="10"/>
      <c r="L228" s="10"/>
      <c r="M228" s="9"/>
      <c r="N228" s="9"/>
      <c r="O228" s="9"/>
      <c r="P228"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28" s="9"/>
      <c r="R228" s="9"/>
      <c r="S228" s="38"/>
      <c r="T228" s="38"/>
      <c r="U228" s="38"/>
      <c r="V228" s="38"/>
      <c r="W228" s="38"/>
      <c r="X228" s="67" t="str">
        <f>IF(COUNTA(SalCommune[[#This Row],[N°]:[heures annuelles
selon contrat(s)]])=0,"",SalCommune[[#This Row],[Brut]]+SalCommune[[#This Row],[Autres Primes]]+SalCommune[[#This Row],[Part patronale]]-ABS(SalCommune[[#This Row],[Remboursement Mutualité]])-ABS(SalCommune[[#This Row],[Remboursement
Autres]]))</f>
        <v/>
      </c>
      <c r="Y228" s="38"/>
      <c r="Z228"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28" s="8"/>
      <c r="AB228" s="64"/>
      <c r="AC228"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28"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28" s="505"/>
      <c r="AF228" s="187"/>
      <c r="AG228" s="200" t="str">
        <f>IF(COUNTA(SalCommune[[#This Row],[N°]:[heures annuelles
selon contrat(s)]])=0,"",REVEX!$E$9)</f>
        <v/>
      </c>
      <c r="AH228" s="73" t="str">
        <f>IF(SalCommune[[#This Row],[Allocations fonctions]]="","",IF(ISNA(VLOOKUP(SalCommune[[#This Row],[Allocations fonctions]],DROPDOWN[Dropdown82],1,FALSE))=TRUE,"&lt;-- Veuillez choisir l'allocation parmis la liste déroulante.",""))</f>
        <v/>
      </c>
    </row>
    <row r="229" spans="1:34" x14ac:dyDescent="0.25">
      <c r="A229" s="73" t="str">
        <f>IF(SalCommune[[#This Row],[Statut]]="","",IF(ISNA(VLOOKUP(SalCommune[[#This Row],[Statut]],'Grille communale'!$B$3:$B$5,1,FALSE))=TRUE,"Veuillez choisir le statut parmis la liste déroulante",""))</f>
        <v/>
      </c>
      <c r="B229" s="8"/>
      <c r="C229" s="8"/>
      <c r="D229" s="8"/>
      <c r="E229" s="21"/>
      <c r="F229" s="8"/>
      <c r="G229" s="8"/>
      <c r="H229" s="9"/>
      <c r="I229" s="9"/>
      <c r="J229" s="9"/>
      <c r="K229" s="10"/>
      <c r="L229" s="10"/>
      <c r="M229" s="9"/>
      <c r="N229" s="9"/>
      <c r="O229" s="9"/>
      <c r="P229"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29" s="9"/>
      <c r="R229" s="9"/>
      <c r="S229" s="38"/>
      <c r="T229" s="38"/>
      <c r="U229" s="38"/>
      <c r="V229" s="38"/>
      <c r="W229" s="38"/>
      <c r="X229" s="67" t="str">
        <f>IF(COUNTA(SalCommune[[#This Row],[N°]:[heures annuelles
selon contrat(s)]])=0,"",SalCommune[[#This Row],[Brut]]+SalCommune[[#This Row],[Autres Primes]]+SalCommune[[#This Row],[Part patronale]]-ABS(SalCommune[[#This Row],[Remboursement Mutualité]])-ABS(SalCommune[[#This Row],[Remboursement
Autres]]))</f>
        <v/>
      </c>
      <c r="Y229" s="38"/>
      <c r="Z229"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29" s="8"/>
      <c r="AB229" s="64"/>
      <c r="AC229"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29"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29" s="505"/>
      <c r="AF229" s="187"/>
      <c r="AG229" s="200" t="str">
        <f>IF(COUNTA(SalCommune[[#This Row],[N°]:[heures annuelles
selon contrat(s)]])=0,"",REVEX!$E$9)</f>
        <v/>
      </c>
      <c r="AH229" s="73" t="str">
        <f>IF(SalCommune[[#This Row],[Allocations fonctions]]="","",IF(ISNA(VLOOKUP(SalCommune[[#This Row],[Allocations fonctions]],DROPDOWN[Dropdown82],1,FALSE))=TRUE,"&lt;-- Veuillez choisir l'allocation parmis la liste déroulante.",""))</f>
        <v/>
      </c>
    </row>
    <row r="230" spans="1:34" x14ac:dyDescent="0.25">
      <c r="A230" s="73" t="str">
        <f>IF(SalCommune[[#This Row],[Statut]]="","",IF(ISNA(VLOOKUP(SalCommune[[#This Row],[Statut]],'Grille communale'!$B$3:$B$5,1,FALSE))=TRUE,"Veuillez choisir le statut parmis la liste déroulante",""))</f>
        <v/>
      </c>
      <c r="B230" s="8"/>
      <c r="C230" s="8"/>
      <c r="D230" s="8"/>
      <c r="E230" s="21"/>
      <c r="F230" s="8"/>
      <c r="G230" s="8"/>
      <c r="H230" s="9"/>
      <c r="I230" s="9"/>
      <c r="J230" s="9"/>
      <c r="K230" s="10"/>
      <c r="L230" s="10"/>
      <c r="M230" s="9"/>
      <c r="N230" s="9"/>
      <c r="O230" s="9"/>
      <c r="P230"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30" s="9"/>
      <c r="R230" s="9"/>
      <c r="S230" s="38"/>
      <c r="T230" s="38"/>
      <c r="U230" s="38"/>
      <c r="V230" s="38"/>
      <c r="W230" s="38"/>
      <c r="X230" s="67" t="str">
        <f>IF(COUNTA(SalCommune[[#This Row],[N°]:[heures annuelles
selon contrat(s)]])=0,"",SalCommune[[#This Row],[Brut]]+SalCommune[[#This Row],[Autres Primes]]+SalCommune[[#This Row],[Part patronale]]-ABS(SalCommune[[#This Row],[Remboursement Mutualité]])-ABS(SalCommune[[#This Row],[Remboursement
Autres]]))</f>
        <v/>
      </c>
      <c r="Y230" s="38"/>
      <c r="Z230"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30" s="8"/>
      <c r="AB230" s="64"/>
      <c r="AC230"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30"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30" s="505"/>
      <c r="AF230" s="187"/>
      <c r="AG230" s="200" t="str">
        <f>IF(COUNTA(SalCommune[[#This Row],[N°]:[heures annuelles
selon contrat(s)]])=0,"",REVEX!$E$9)</f>
        <v/>
      </c>
      <c r="AH230" s="73" t="str">
        <f>IF(SalCommune[[#This Row],[Allocations fonctions]]="","",IF(ISNA(VLOOKUP(SalCommune[[#This Row],[Allocations fonctions]],DROPDOWN[Dropdown82],1,FALSE))=TRUE,"&lt;-- Veuillez choisir l'allocation parmis la liste déroulante.",""))</f>
        <v/>
      </c>
    </row>
    <row r="231" spans="1:34" x14ac:dyDescent="0.25">
      <c r="A231" s="73" t="str">
        <f>IF(SalCommune[[#This Row],[Statut]]="","",IF(ISNA(VLOOKUP(SalCommune[[#This Row],[Statut]],'Grille communale'!$B$3:$B$5,1,FALSE))=TRUE,"Veuillez choisir le statut parmis la liste déroulante",""))</f>
        <v/>
      </c>
      <c r="B231" s="8"/>
      <c r="C231" s="8"/>
      <c r="D231" s="8"/>
      <c r="E231" s="21"/>
      <c r="F231" s="8"/>
      <c r="G231" s="8"/>
      <c r="H231" s="9"/>
      <c r="I231" s="9"/>
      <c r="J231" s="9"/>
      <c r="K231" s="10"/>
      <c r="L231" s="10"/>
      <c r="M231" s="9"/>
      <c r="N231" s="9"/>
      <c r="O231" s="9"/>
      <c r="P231"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31" s="9"/>
      <c r="R231" s="9"/>
      <c r="S231" s="38"/>
      <c r="T231" s="38"/>
      <c r="U231" s="38"/>
      <c r="V231" s="38"/>
      <c r="W231" s="38"/>
      <c r="X231" s="67" t="str">
        <f>IF(COUNTA(SalCommune[[#This Row],[N°]:[heures annuelles
selon contrat(s)]])=0,"",SalCommune[[#This Row],[Brut]]+SalCommune[[#This Row],[Autres Primes]]+SalCommune[[#This Row],[Part patronale]]-ABS(SalCommune[[#This Row],[Remboursement Mutualité]])-ABS(SalCommune[[#This Row],[Remboursement
Autres]]))</f>
        <v/>
      </c>
      <c r="Y231" s="38"/>
      <c r="Z231"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31" s="8"/>
      <c r="AB231" s="64"/>
      <c r="AC231"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31"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31" s="505"/>
      <c r="AF231" s="187"/>
      <c r="AG231" s="200" t="str">
        <f>IF(COUNTA(SalCommune[[#This Row],[N°]:[heures annuelles
selon contrat(s)]])=0,"",REVEX!$E$9)</f>
        <v/>
      </c>
      <c r="AH231" s="73" t="str">
        <f>IF(SalCommune[[#This Row],[Allocations fonctions]]="","",IF(ISNA(VLOOKUP(SalCommune[[#This Row],[Allocations fonctions]],DROPDOWN[Dropdown82],1,FALSE))=TRUE,"&lt;-- Veuillez choisir l'allocation parmis la liste déroulante.",""))</f>
        <v/>
      </c>
    </row>
    <row r="232" spans="1:34" x14ac:dyDescent="0.25">
      <c r="A232" s="73" t="str">
        <f>IF(SalCommune[[#This Row],[Statut]]="","",IF(ISNA(VLOOKUP(SalCommune[[#This Row],[Statut]],'Grille communale'!$B$3:$B$5,1,FALSE))=TRUE,"Veuillez choisir le statut parmis la liste déroulante",""))</f>
        <v/>
      </c>
      <c r="B232" s="8"/>
      <c r="C232" s="8"/>
      <c r="D232" s="8"/>
      <c r="E232" s="21"/>
      <c r="F232" s="8"/>
      <c r="G232" s="8"/>
      <c r="H232" s="9"/>
      <c r="I232" s="9"/>
      <c r="J232" s="9"/>
      <c r="K232" s="10"/>
      <c r="L232" s="10"/>
      <c r="M232" s="9"/>
      <c r="N232" s="9"/>
      <c r="O232" s="9"/>
      <c r="P232"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32" s="9"/>
      <c r="R232" s="9"/>
      <c r="S232" s="38"/>
      <c r="T232" s="38"/>
      <c r="U232" s="38"/>
      <c r="V232" s="38"/>
      <c r="W232" s="38"/>
      <c r="X232" s="67" t="str">
        <f>IF(COUNTA(SalCommune[[#This Row],[N°]:[heures annuelles
selon contrat(s)]])=0,"",SalCommune[[#This Row],[Brut]]+SalCommune[[#This Row],[Autres Primes]]+SalCommune[[#This Row],[Part patronale]]-ABS(SalCommune[[#This Row],[Remboursement Mutualité]])-ABS(SalCommune[[#This Row],[Remboursement
Autres]]))</f>
        <v/>
      </c>
      <c r="Y232" s="38"/>
      <c r="Z232"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32" s="8"/>
      <c r="AB232" s="64"/>
      <c r="AC232"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32"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32" s="505"/>
      <c r="AF232" s="187"/>
      <c r="AG232" s="200" t="str">
        <f>IF(COUNTA(SalCommune[[#This Row],[N°]:[heures annuelles
selon contrat(s)]])=0,"",REVEX!$E$9)</f>
        <v/>
      </c>
      <c r="AH232" s="73" t="str">
        <f>IF(SalCommune[[#This Row],[Allocations fonctions]]="","",IF(ISNA(VLOOKUP(SalCommune[[#This Row],[Allocations fonctions]],DROPDOWN[Dropdown82],1,FALSE))=TRUE,"&lt;-- Veuillez choisir l'allocation parmis la liste déroulante.",""))</f>
        <v/>
      </c>
    </row>
    <row r="233" spans="1:34" x14ac:dyDescent="0.25">
      <c r="A233" s="73" t="str">
        <f>IF(SalCommune[[#This Row],[Statut]]="","",IF(ISNA(VLOOKUP(SalCommune[[#This Row],[Statut]],'Grille communale'!$B$3:$B$5,1,FALSE))=TRUE,"Veuillez choisir le statut parmis la liste déroulante",""))</f>
        <v/>
      </c>
      <c r="B233" s="8"/>
      <c r="C233" s="8"/>
      <c r="D233" s="8"/>
      <c r="E233" s="21"/>
      <c r="F233" s="8"/>
      <c r="G233" s="8"/>
      <c r="H233" s="9"/>
      <c r="I233" s="9"/>
      <c r="J233" s="9"/>
      <c r="K233" s="10"/>
      <c r="L233" s="10"/>
      <c r="M233" s="9"/>
      <c r="N233" s="9"/>
      <c r="O233" s="9"/>
      <c r="P233"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33" s="9"/>
      <c r="R233" s="9"/>
      <c r="S233" s="38"/>
      <c r="T233" s="38"/>
      <c r="U233" s="38"/>
      <c r="V233" s="38"/>
      <c r="W233" s="38"/>
      <c r="X233" s="67" t="str">
        <f>IF(COUNTA(SalCommune[[#This Row],[N°]:[heures annuelles
selon contrat(s)]])=0,"",SalCommune[[#This Row],[Brut]]+SalCommune[[#This Row],[Autres Primes]]+SalCommune[[#This Row],[Part patronale]]-ABS(SalCommune[[#This Row],[Remboursement Mutualité]])-ABS(SalCommune[[#This Row],[Remboursement
Autres]]))</f>
        <v/>
      </c>
      <c r="Y233" s="38"/>
      <c r="Z233"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33" s="8"/>
      <c r="AB233" s="64"/>
      <c r="AC233"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33"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33" s="505"/>
      <c r="AF233" s="187"/>
      <c r="AG233" s="200" t="str">
        <f>IF(COUNTA(SalCommune[[#This Row],[N°]:[heures annuelles
selon contrat(s)]])=0,"",REVEX!$E$9)</f>
        <v/>
      </c>
      <c r="AH233" s="73" t="str">
        <f>IF(SalCommune[[#This Row],[Allocations fonctions]]="","",IF(ISNA(VLOOKUP(SalCommune[[#This Row],[Allocations fonctions]],DROPDOWN[Dropdown82],1,FALSE))=TRUE,"&lt;-- Veuillez choisir l'allocation parmis la liste déroulante.",""))</f>
        <v/>
      </c>
    </row>
    <row r="234" spans="1:34" x14ac:dyDescent="0.25">
      <c r="A234" s="73" t="str">
        <f>IF(SalCommune[[#This Row],[Statut]]="","",IF(ISNA(VLOOKUP(SalCommune[[#This Row],[Statut]],'Grille communale'!$B$3:$B$5,1,FALSE))=TRUE,"Veuillez choisir le statut parmis la liste déroulante",""))</f>
        <v/>
      </c>
      <c r="B234" s="8"/>
      <c r="C234" s="8"/>
      <c r="D234" s="8"/>
      <c r="E234" s="21"/>
      <c r="F234" s="8"/>
      <c r="G234" s="8"/>
      <c r="H234" s="9"/>
      <c r="I234" s="9"/>
      <c r="J234" s="9"/>
      <c r="K234" s="10"/>
      <c r="L234" s="10"/>
      <c r="M234" s="9"/>
      <c r="N234" s="9"/>
      <c r="O234" s="9"/>
      <c r="P234"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34" s="9"/>
      <c r="R234" s="9"/>
      <c r="S234" s="38"/>
      <c r="T234" s="38"/>
      <c r="U234" s="38"/>
      <c r="V234" s="38"/>
      <c r="W234" s="38"/>
      <c r="X234" s="67" t="str">
        <f>IF(COUNTA(SalCommune[[#This Row],[N°]:[heures annuelles
selon contrat(s)]])=0,"",SalCommune[[#This Row],[Brut]]+SalCommune[[#This Row],[Autres Primes]]+SalCommune[[#This Row],[Part patronale]]-ABS(SalCommune[[#This Row],[Remboursement Mutualité]])-ABS(SalCommune[[#This Row],[Remboursement
Autres]]))</f>
        <v/>
      </c>
      <c r="Y234" s="38"/>
      <c r="Z234"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34" s="8"/>
      <c r="AB234" s="64"/>
      <c r="AC234"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34"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34" s="505"/>
      <c r="AF234" s="187"/>
      <c r="AG234" s="200" t="str">
        <f>IF(COUNTA(SalCommune[[#This Row],[N°]:[heures annuelles
selon contrat(s)]])=0,"",REVEX!$E$9)</f>
        <v/>
      </c>
      <c r="AH234" s="73" t="str">
        <f>IF(SalCommune[[#This Row],[Allocations fonctions]]="","",IF(ISNA(VLOOKUP(SalCommune[[#This Row],[Allocations fonctions]],DROPDOWN[Dropdown82],1,FALSE))=TRUE,"&lt;-- Veuillez choisir l'allocation parmis la liste déroulante.",""))</f>
        <v/>
      </c>
    </row>
    <row r="235" spans="1:34" x14ac:dyDescent="0.25">
      <c r="A235" s="73" t="str">
        <f>IF(SalCommune[[#This Row],[Statut]]="","",IF(ISNA(VLOOKUP(SalCommune[[#This Row],[Statut]],'Grille communale'!$B$3:$B$5,1,FALSE))=TRUE,"Veuillez choisir le statut parmis la liste déroulante",""))</f>
        <v/>
      </c>
      <c r="B235" s="8"/>
      <c r="C235" s="8"/>
      <c r="D235" s="8"/>
      <c r="E235" s="21"/>
      <c r="F235" s="8"/>
      <c r="G235" s="8"/>
      <c r="H235" s="9"/>
      <c r="I235" s="9"/>
      <c r="J235" s="9"/>
      <c r="K235" s="10"/>
      <c r="L235" s="10"/>
      <c r="M235" s="9"/>
      <c r="N235" s="9"/>
      <c r="O235" s="9"/>
      <c r="P235"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35" s="9"/>
      <c r="R235" s="9"/>
      <c r="S235" s="38"/>
      <c r="T235" s="38"/>
      <c r="U235" s="38"/>
      <c r="V235" s="38"/>
      <c r="W235" s="38"/>
      <c r="X235" s="67" t="str">
        <f>IF(COUNTA(SalCommune[[#This Row],[N°]:[heures annuelles
selon contrat(s)]])=0,"",SalCommune[[#This Row],[Brut]]+SalCommune[[#This Row],[Autres Primes]]+SalCommune[[#This Row],[Part patronale]]-ABS(SalCommune[[#This Row],[Remboursement Mutualité]])-ABS(SalCommune[[#This Row],[Remboursement
Autres]]))</f>
        <v/>
      </c>
      <c r="Y235" s="38"/>
      <c r="Z235"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35" s="8"/>
      <c r="AB235" s="64"/>
      <c r="AC235"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35"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35" s="505"/>
      <c r="AF235" s="187"/>
      <c r="AG235" s="200" t="str">
        <f>IF(COUNTA(SalCommune[[#This Row],[N°]:[heures annuelles
selon contrat(s)]])=0,"",REVEX!$E$9)</f>
        <v/>
      </c>
      <c r="AH235" s="73" t="str">
        <f>IF(SalCommune[[#This Row],[Allocations fonctions]]="","",IF(ISNA(VLOOKUP(SalCommune[[#This Row],[Allocations fonctions]],DROPDOWN[Dropdown82],1,FALSE))=TRUE,"&lt;-- Veuillez choisir l'allocation parmis la liste déroulante.",""))</f>
        <v/>
      </c>
    </row>
    <row r="236" spans="1:34" x14ac:dyDescent="0.25">
      <c r="A236" s="73" t="str">
        <f>IF(SalCommune[[#This Row],[Statut]]="","",IF(ISNA(VLOOKUP(SalCommune[[#This Row],[Statut]],'Grille communale'!$B$3:$B$5,1,FALSE))=TRUE,"Veuillez choisir le statut parmis la liste déroulante",""))</f>
        <v/>
      </c>
      <c r="B236" s="8"/>
      <c r="C236" s="8"/>
      <c r="D236" s="8"/>
      <c r="E236" s="21"/>
      <c r="F236" s="8"/>
      <c r="G236" s="8"/>
      <c r="H236" s="9"/>
      <c r="I236" s="9"/>
      <c r="J236" s="9"/>
      <c r="K236" s="10"/>
      <c r="L236" s="10"/>
      <c r="M236" s="9"/>
      <c r="N236" s="9"/>
      <c r="O236" s="9"/>
      <c r="P236"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36" s="9"/>
      <c r="R236" s="9"/>
      <c r="S236" s="38"/>
      <c r="T236" s="38"/>
      <c r="U236" s="38"/>
      <c r="V236" s="38"/>
      <c r="W236" s="38"/>
      <c r="X236" s="67" t="str">
        <f>IF(COUNTA(SalCommune[[#This Row],[N°]:[heures annuelles
selon contrat(s)]])=0,"",SalCommune[[#This Row],[Brut]]+SalCommune[[#This Row],[Autres Primes]]+SalCommune[[#This Row],[Part patronale]]-ABS(SalCommune[[#This Row],[Remboursement Mutualité]])-ABS(SalCommune[[#This Row],[Remboursement
Autres]]))</f>
        <v/>
      </c>
      <c r="Y236" s="38"/>
      <c r="Z236"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36" s="8"/>
      <c r="AB236" s="64"/>
      <c r="AC236"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36"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36" s="505"/>
      <c r="AF236" s="187"/>
      <c r="AG236" s="200" t="str">
        <f>IF(COUNTA(SalCommune[[#This Row],[N°]:[heures annuelles
selon contrat(s)]])=0,"",REVEX!$E$9)</f>
        <v/>
      </c>
      <c r="AH236" s="73" t="str">
        <f>IF(SalCommune[[#This Row],[Allocations fonctions]]="","",IF(ISNA(VLOOKUP(SalCommune[[#This Row],[Allocations fonctions]],DROPDOWN[Dropdown82],1,FALSE))=TRUE,"&lt;-- Veuillez choisir l'allocation parmis la liste déroulante.",""))</f>
        <v/>
      </c>
    </row>
    <row r="237" spans="1:34" x14ac:dyDescent="0.25">
      <c r="A237" s="73" t="str">
        <f>IF(SalCommune[[#This Row],[Statut]]="","",IF(ISNA(VLOOKUP(SalCommune[[#This Row],[Statut]],'Grille communale'!$B$3:$B$5,1,FALSE))=TRUE,"Veuillez choisir le statut parmis la liste déroulante",""))</f>
        <v/>
      </c>
      <c r="B237" s="8"/>
      <c r="C237" s="8"/>
      <c r="D237" s="8"/>
      <c r="E237" s="21"/>
      <c r="F237" s="8"/>
      <c r="G237" s="8"/>
      <c r="H237" s="9"/>
      <c r="I237" s="9"/>
      <c r="J237" s="9"/>
      <c r="K237" s="10"/>
      <c r="L237" s="10"/>
      <c r="M237" s="9"/>
      <c r="N237" s="9"/>
      <c r="O237" s="9"/>
      <c r="P237"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37" s="9"/>
      <c r="R237" s="9"/>
      <c r="S237" s="38"/>
      <c r="T237" s="38"/>
      <c r="U237" s="38"/>
      <c r="V237" s="38"/>
      <c r="W237" s="38"/>
      <c r="X237" s="67" t="str">
        <f>IF(COUNTA(SalCommune[[#This Row],[N°]:[heures annuelles
selon contrat(s)]])=0,"",SalCommune[[#This Row],[Brut]]+SalCommune[[#This Row],[Autres Primes]]+SalCommune[[#This Row],[Part patronale]]-ABS(SalCommune[[#This Row],[Remboursement Mutualité]])-ABS(SalCommune[[#This Row],[Remboursement
Autres]]))</f>
        <v/>
      </c>
      <c r="Y237" s="38"/>
      <c r="Z237"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37" s="8"/>
      <c r="AB237" s="64"/>
      <c r="AC237"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37"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37" s="505"/>
      <c r="AF237" s="187"/>
      <c r="AG237" s="200" t="str">
        <f>IF(COUNTA(SalCommune[[#This Row],[N°]:[heures annuelles
selon contrat(s)]])=0,"",REVEX!$E$9)</f>
        <v/>
      </c>
      <c r="AH237" s="73" t="str">
        <f>IF(SalCommune[[#This Row],[Allocations fonctions]]="","",IF(ISNA(VLOOKUP(SalCommune[[#This Row],[Allocations fonctions]],DROPDOWN[Dropdown82],1,FALSE))=TRUE,"&lt;-- Veuillez choisir l'allocation parmis la liste déroulante.",""))</f>
        <v/>
      </c>
    </row>
    <row r="238" spans="1:34" x14ac:dyDescent="0.25">
      <c r="A238" s="73" t="str">
        <f>IF(SalCommune[[#This Row],[Statut]]="","",IF(ISNA(VLOOKUP(SalCommune[[#This Row],[Statut]],'Grille communale'!$B$3:$B$5,1,FALSE))=TRUE,"Veuillez choisir le statut parmis la liste déroulante",""))</f>
        <v/>
      </c>
      <c r="B238" s="8"/>
      <c r="C238" s="8"/>
      <c r="D238" s="8"/>
      <c r="E238" s="21"/>
      <c r="F238" s="8"/>
      <c r="G238" s="8"/>
      <c r="H238" s="9"/>
      <c r="I238" s="9"/>
      <c r="J238" s="9"/>
      <c r="K238" s="10"/>
      <c r="L238" s="10"/>
      <c r="M238" s="9"/>
      <c r="N238" s="9"/>
      <c r="O238" s="9"/>
      <c r="P238"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38" s="9"/>
      <c r="R238" s="9"/>
      <c r="S238" s="38"/>
      <c r="T238" s="38"/>
      <c r="U238" s="38"/>
      <c r="V238" s="38"/>
      <c r="W238" s="38"/>
      <c r="X238" s="67" t="str">
        <f>IF(COUNTA(SalCommune[[#This Row],[N°]:[heures annuelles
selon contrat(s)]])=0,"",SalCommune[[#This Row],[Brut]]+SalCommune[[#This Row],[Autres Primes]]+SalCommune[[#This Row],[Part patronale]]-ABS(SalCommune[[#This Row],[Remboursement Mutualité]])-ABS(SalCommune[[#This Row],[Remboursement
Autres]]))</f>
        <v/>
      </c>
      <c r="Y238" s="38"/>
      <c r="Z238"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38" s="8"/>
      <c r="AB238" s="64"/>
      <c r="AC238"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38"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38" s="505"/>
      <c r="AF238" s="187"/>
      <c r="AG238" s="200" t="str">
        <f>IF(COUNTA(SalCommune[[#This Row],[N°]:[heures annuelles
selon contrat(s)]])=0,"",REVEX!$E$9)</f>
        <v/>
      </c>
      <c r="AH238" s="73" t="str">
        <f>IF(SalCommune[[#This Row],[Allocations fonctions]]="","",IF(ISNA(VLOOKUP(SalCommune[[#This Row],[Allocations fonctions]],DROPDOWN[Dropdown82],1,FALSE))=TRUE,"&lt;-- Veuillez choisir l'allocation parmis la liste déroulante.",""))</f>
        <v/>
      </c>
    </row>
    <row r="239" spans="1:34" x14ac:dyDescent="0.25">
      <c r="A239" s="73" t="str">
        <f>IF(SalCommune[[#This Row],[Statut]]="","",IF(ISNA(VLOOKUP(SalCommune[[#This Row],[Statut]],'Grille communale'!$B$3:$B$5,1,FALSE))=TRUE,"Veuillez choisir le statut parmis la liste déroulante",""))</f>
        <v/>
      </c>
      <c r="B239" s="8"/>
      <c r="C239" s="8"/>
      <c r="D239" s="8"/>
      <c r="E239" s="21"/>
      <c r="F239" s="8"/>
      <c r="G239" s="8"/>
      <c r="H239" s="9"/>
      <c r="I239" s="9"/>
      <c r="J239" s="9"/>
      <c r="K239" s="10"/>
      <c r="L239" s="10"/>
      <c r="M239" s="9"/>
      <c r="N239" s="9"/>
      <c r="O239" s="9"/>
      <c r="P239"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39" s="9"/>
      <c r="R239" s="9"/>
      <c r="S239" s="38"/>
      <c r="T239" s="38"/>
      <c r="U239" s="38"/>
      <c r="V239" s="38"/>
      <c r="W239" s="38"/>
      <c r="X239" s="67" t="str">
        <f>IF(COUNTA(SalCommune[[#This Row],[N°]:[heures annuelles
selon contrat(s)]])=0,"",SalCommune[[#This Row],[Brut]]+SalCommune[[#This Row],[Autres Primes]]+SalCommune[[#This Row],[Part patronale]]-ABS(SalCommune[[#This Row],[Remboursement Mutualité]])-ABS(SalCommune[[#This Row],[Remboursement
Autres]]))</f>
        <v/>
      </c>
      <c r="Y239" s="38"/>
      <c r="Z239"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39" s="8"/>
      <c r="AB239" s="64"/>
      <c r="AC239"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39"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39" s="505"/>
      <c r="AF239" s="187"/>
      <c r="AG239" s="200" t="str">
        <f>IF(COUNTA(SalCommune[[#This Row],[N°]:[heures annuelles
selon contrat(s)]])=0,"",REVEX!$E$9)</f>
        <v/>
      </c>
      <c r="AH239" s="73" t="str">
        <f>IF(SalCommune[[#This Row],[Allocations fonctions]]="","",IF(ISNA(VLOOKUP(SalCommune[[#This Row],[Allocations fonctions]],DROPDOWN[Dropdown82],1,FALSE))=TRUE,"&lt;-- Veuillez choisir l'allocation parmis la liste déroulante.",""))</f>
        <v/>
      </c>
    </row>
    <row r="240" spans="1:34" x14ac:dyDescent="0.25">
      <c r="A240" s="73" t="str">
        <f>IF(SalCommune[[#This Row],[Statut]]="","",IF(ISNA(VLOOKUP(SalCommune[[#This Row],[Statut]],'Grille communale'!$B$3:$B$5,1,FALSE))=TRUE,"Veuillez choisir le statut parmis la liste déroulante",""))</f>
        <v/>
      </c>
      <c r="B240" s="8"/>
      <c r="C240" s="8"/>
      <c r="D240" s="8"/>
      <c r="E240" s="21"/>
      <c r="F240" s="8"/>
      <c r="G240" s="8"/>
      <c r="H240" s="9"/>
      <c r="I240" s="9"/>
      <c r="J240" s="9"/>
      <c r="K240" s="10"/>
      <c r="L240" s="10"/>
      <c r="M240" s="9"/>
      <c r="N240" s="9"/>
      <c r="O240" s="9"/>
      <c r="P240"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40" s="9"/>
      <c r="R240" s="9"/>
      <c r="S240" s="38"/>
      <c r="T240" s="38"/>
      <c r="U240" s="38"/>
      <c r="V240" s="38"/>
      <c r="W240" s="38"/>
      <c r="X240" s="67" t="str">
        <f>IF(COUNTA(SalCommune[[#This Row],[N°]:[heures annuelles
selon contrat(s)]])=0,"",SalCommune[[#This Row],[Brut]]+SalCommune[[#This Row],[Autres Primes]]+SalCommune[[#This Row],[Part patronale]]-ABS(SalCommune[[#This Row],[Remboursement Mutualité]])-ABS(SalCommune[[#This Row],[Remboursement
Autres]]))</f>
        <v/>
      </c>
      <c r="Y240" s="38"/>
      <c r="Z240"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40" s="8"/>
      <c r="AB240" s="64"/>
      <c r="AC240"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40"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40" s="505"/>
      <c r="AF240" s="187"/>
      <c r="AG240" s="200" t="str">
        <f>IF(COUNTA(SalCommune[[#This Row],[N°]:[heures annuelles
selon contrat(s)]])=0,"",REVEX!$E$9)</f>
        <v/>
      </c>
      <c r="AH240" s="73" t="str">
        <f>IF(SalCommune[[#This Row],[Allocations fonctions]]="","",IF(ISNA(VLOOKUP(SalCommune[[#This Row],[Allocations fonctions]],DROPDOWN[Dropdown82],1,FALSE))=TRUE,"&lt;-- Veuillez choisir l'allocation parmis la liste déroulante.",""))</f>
        <v/>
      </c>
    </row>
    <row r="241" spans="1:34" x14ac:dyDescent="0.25">
      <c r="A241" s="73" t="str">
        <f>IF(SalCommune[[#This Row],[Statut]]="","",IF(ISNA(VLOOKUP(SalCommune[[#This Row],[Statut]],'Grille communale'!$B$3:$B$5,1,FALSE))=TRUE,"Veuillez choisir le statut parmis la liste déroulante",""))</f>
        <v/>
      </c>
      <c r="B241" s="8"/>
      <c r="C241" s="8"/>
      <c r="D241" s="8"/>
      <c r="E241" s="21"/>
      <c r="F241" s="8"/>
      <c r="G241" s="8"/>
      <c r="H241" s="9"/>
      <c r="I241" s="9"/>
      <c r="J241" s="9"/>
      <c r="K241" s="10"/>
      <c r="L241" s="10"/>
      <c r="M241" s="9"/>
      <c r="N241" s="9"/>
      <c r="O241" s="9"/>
      <c r="P241"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41" s="9"/>
      <c r="R241" s="9"/>
      <c r="S241" s="38"/>
      <c r="T241" s="38"/>
      <c r="U241" s="38"/>
      <c r="V241" s="38"/>
      <c r="W241" s="38"/>
      <c r="X241" s="67" t="str">
        <f>IF(COUNTA(SalCommune[[#This Row],[N°]:[heures annuelles
selon contrat(s)]])=0,"",SalCommune[[#This Row],[Brut]]+SalCommune[[#This Row],[Autres Primes]]+SalCommune[[#This Row],[Part patronale]]-ABS(SalCommune[[#This Row],[Remboursement Mutualité]])-ABS(SalCommune[[#This Row],[Remboursement
Autres]]))</f>
        <v/>
      </c>
      <c r="Y241" s="38"/>
      <c r="Z241"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41" s="8"/>
      <c r="AB241" s="64"/>
      <c r="AC241"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41"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41" s="505"/>
      <c r="AF241" s="187"/>
      <c r="AG241" s="200" t="str">
        <f>IF(COUNTA(SalCommune[[#This Row],[N°]:[heures annuelles
selon contrat(s)]])=0,"",REVEX!$E$9)</f>
        <v/>
      </c>
      <c r="AH241" s="73" t="str">
        <f>IF(SalCommune[[#This Row],[Allocations fonctions]]="","",IF(ISNA(VLOOKUP(SalCommune[[#This Row],[Allocations fonctions]],DROPDOWN[Dropdown82],1,FALSE))=TRUE,"&lt;-- Veuillez choisir l'allocation parmis la liste déroulante.",""))</f>
        <v/>
      </c>
    </row>
    <row r="242" spans="1:34" x14ac:dyDescent="0.25">
      <c r="A242" s="73" t="str">
        <f>IF(SalCommune[[#This Row],[Statut]]="","",IF(ISNA(VLOOKUP(SalCommune[[#This Row],[Statut]],'Grille communale'!$B$3:$B$5,1,FALSE))=TRUE,"Veuillez choisir le statut parmis la liste déroulante",""))</f>
        <v/>
      </c>
      <c r="B242" s="8"/>
      <c r="C242" s="8"/>
      <c r="D242" s="8"/>
      <c r="E242" s="21"/>
      <c r="F242" s="8"/>
      <c r="G242" s="8"/>
      <c r="H242" s="9"/>
      <c r="I242" s="9"/>
      <c r="J242" s="9"/>
      <c r="K242" s="10"/>
      <c r="L242" s="10"/>
      <c r="M242" s="9"/>
      <c r="N242" s="9"/>
      <c r="O242" s="9"/>
      <c r="P242"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42" s="9"/>
      <c r="R242" s="9"/>
      <c r="S242" s="38"/>
      <c r="T242" s="38"/>
      <c r="U242" s="38"/>
      <c r="V242" s="38"/>
      <c r="W242" s="38"/>
      <c r="X242" s="67" t="str">
        <f>IF(COUNTA(SalCommune[[#This Row],[N°]:[heures annuelles
selon contrat(s)]])=0,"",SalCommune[[#This Row],[Brut]]+SalCommune[[#This Row],[Autres Primes]]+SalCommune[[#This Row],[Part patronale]]-ABS(SalCommune[[#This Row],[Remboursement Mutualité]])-ABS(SalCommune[[#This Row],[Remboursement
Autres]]))</f>
        <v/>
      </c>
      <c r="Y242" s="38"/>
      <c r="Z242"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42" s="8"/>
      <c r="AB242" s="64"/>
      <c r="AC242"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42"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42" s="505"/>
      <c r="AF242" s="187"/>
      <c r="AG242" s="200" t="str">
        <f>IF(COUNTA(SalCommune[[#This Row],[N°]:[heures annuelles
selon contrat(s)]])=0,"",REVEX!$E$9)</f>
        <v/>
      </c>
      <c r="AH242" s="73" t="str">
        <f>IF(SalCommune[[#This Row],[Allocations fonctions]]="","",IF(ISNA(VLOOKUP(SalCommune[[#This Row],[Allocations fonctions]],DROPDOWN[Dropdown82],1,FALSE))=TRUE,"&lt;-- Veuillez choisir l'allocation parmis la liste déroulante.",""))</f>
        <v/>
      </c>
    </row>
    <row r="243" spans="1:34" x14ac:dyDescent="0.25">
      <c r="A243" s="73" t="str">
        <f>IF(SalCommune[[#This Row],[Statut]]="","",IF(ISNA(VLOOKUP(SalCommune[[#This Row],[Statut]],'Grille communale'!$B$3:$B$5,1,FALSE))=TRUE,"Veuillez choisir le statut parmis la liste déroulante",""))</f>
        <v/>
      </c>
      <c r="B243" s="8"/>
      <c r="C243" s="8"/>
      <c r="D243" s="8"/>
      <c r="E243" s="21"/>
      <c r="F243" s="8"/>
      <c r="G243" s="8"/>
      <c r="H243" s="9"/>
      <c r="I243" s="9"/>
      <c r="J243" s="9"/>
      <c r="K243" s="10"/>
      <c r="L243" s="10"/>
      <c r="M243" s="9"/>
      <c r="N243" s="9"/>
      <c r="O243" s="9"/>
      <c r="P243"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43" s="9"/>
      <c r="R243" s="9"/>
      <c r="S243" s="38"/>
      <c r="T243" s="38"/>
      <c r="U243" s="38"/>
      <c r="V243" s="38"/>
      <c r="W243" s="38"/>
      <c r="X243" s="67" t="str">
        <f>IF(COUNTA(SalCommune[[#This Row],[N°]:[heures annuelles
selon contrat(s)]])=0,"",SalCommune[[#This Row],[Brut]]+SalCommune[[#This Row],[Autres Primes]]+SalCommune[[#This Row],[Part patronale]]-ABS(SalCommune[[#This Row],[Remboursement Mutualité]])-ABS(SalCommune[[#This Row],[Remboursement
Autres]]))</f>
        <v/>
      </c>
      <c r="Y243" s="38"/>
      <c r="Z243"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43" s="8"/>
      <c r="AB243" s="64"/>
      <c r="AC243"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43"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43" s="505"/>
      <c r="AF243" s="187"/>
      <c r="AG243" s="200" t="str">
        <f>IF(COUNTA(SalCommune[[#This Row],[N°]:[heures annuelles
selon contrat(s)]])=0,"",REVEX!$E$9)</f>
        <v/>
      </c>
      <c r="AH243" s="73" t="str">
        <f>IF(SalCommune[[#This Row],[Allocations fonctions]]="","",IF(ISNA(VLOOKUP(SalCommune[[#This Row],[Allocations fonctions]],DROPDOWN[Dropdown82],1,FALSE))=TRUE,"&lt;-- Veuillez choisir l'allocation parmis la liste déroulante.",""))</f>
        <v/>
      </c>
    </row>
    <row r="244" spans="1:34" x14ac:dyDescent="0.25">
      <c r="A244" s="73" t="str">
        <f>IF(SalCommune[[#This Row],[Statut]]="","",IF(ISNA(VLOOKUP(SalCommune[[#This Row],[Statut]],'Grille communale'!$B$3:$B$5,1,FALSE))=TRUE,"Veuillez choisir le statut parmis la liste déroulante",""))</f>
        <v/>
      </c>
      <c r="B244" s="8"/>
      <c r="C244" s="8"/>
      <c r="D244" s="8"/>
      <c r="E244" s="21"/>
      <c r="F244" s="8"/>
      <c r="G244" s="8"/>
      <c r="H244" s="9"/>
      <c r="I244" s="9"/>
      <c r="J244" s="9"/>
      <c r="K244" s="10"/>
      <c r="L244" s="10"/>
      <c r="M244" s="9"/>
      <c r="N244" s="9"/>
      <c r="O244" s="9"/>
      <c r="P244"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44" s="9"/>
      <c r="R244" s="9"/>
      <c r="S244" s="38"/>
      <c r="T244" s="38"/>
      <c r="U244" s="38"/>
      <c r="V244" s="38"/>
      <c r="W244" s="38"/>
      <c r="X244" s="67" t="str">
        <f>IF(COUNTA(SalCommune[[#This Row],[N°]:[heures annuelles
selon contrat(s)]])=0,"",SalCommune[[#This Row],[Brut]]+SalCommune[[#This Row],[Autres Primes]]+SalCommune[[#This Row],[Part patronale]]-ABS(SalCommune[[#This Row],[Remboursement Mutualité]])-ABS(SalCommune[[#This Row],[Remboursement
Autres]]))</f>
        <v/>
      </c>
      <c r="Y244" s="38"/>
      <c r="Z244"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44" s="8"/>
      <c r="AB244" s="64"/>
      <c r="AC244"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44"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44" s="505"/>
      <c r="AF244" s="187"/>
      <c r="AG244" s="200" t="str">
        <f>IF(COUNTA(SalCommune[[#This Row],[N°]:[heures annuelles
selon contrat(s)]])=0,"",REVEX!$E$9)</f>
        <v/>
      </c>
      <c r="AH244" s="73" t="str">
        <f>IF(SalCommune[[#This Row],[Allocations fonctions]]="","",IF(ISNA(VLOOKUP(SalCommune[[#This Row],[Allocations fonctions]],DROPDOWN[Dropdown82],1,FALSE))=TRUE,"&lt;-- Veuillez choisir l'allocation parmis la liste déroulante.",""))</f>
        <v/>
      </c>
    </row>
    <row r="245" spans="1:34" x14ac:dyDescent="0.25">
      <c r="A245" s="73" t="str">
        <f>IF(SalCommune[[#This Row],[Statut]]="","",IF(ISNA(VLOOKUP(SalCommune[[#This Row],[Statut]],'Grille communale'!$B$3:$B$5,1,FALSE))=TRUE,"Veuillez choisir le statut parmis la liste déroulante",""))</f>
        <v/>
      </c>
      <c r="B245" s="8"/>
      <c r="C245" s="8"/>
      <c r="D245" s="8"/>
      <c r="E245" s="21"/>
      <c r="F245" s="8"/>
      <c r="G245" s="8"/>
      <c r="H245" s="9"/>
      <c r="I245" s="9"/>
      <c r="J245" s="9"/>
      <c r="K245" s="10"/>
      <c r="L245" s="10"/>
      <c r="M245" s="9"/>
      <c r="N245" s="9"/>
      <c r="O245" s="9"/>
      <c r="P245"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45" s="9"/>
      <c r="R245" s="9"/>
      <c r="S245" s="38"/>
      <c r="T245" s="38"/>
      <c r="U245" s="38"/>
      <c r="V245" s="38"/>
      <c r="W245" s="38"/>
      <c r="X245" s="67" t="str">
        <f>IF(COUNTA(SalCommune[[#This Row],[N°]:[heures annuelles
selon contrat(s)]])=0,"",SalCommune[[#This Row],[Brut]]+SalCommune[[#This Row],[Autres Primes]]+SalCommune[[#This Row],[Part patronale]]-ABS(SalCommune[[#This Row],[Remboursement Mutualité]])-ABS(SalCommune[[#This Row],[Remboursement
Autres]]))</f>
        <v/>
      </c>
      <c r="Y245" s="38"/>
      <c r="Z245"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45" s="8"/>
      <c r="AB245" s="64"/>
      <c r="AC245"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45"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45" s="505"/>
      <c r="AF245" s="187"/>
      <c r="AG245" s="200" t="str">
        <f>IF(COUNTA(SalCommune[[#This Row],[N°]:[heures annuelles
selon contrat(s)]])=0,"",REVEX!$E$9)</f>
        <v/>
      </c>
      <c r="AH245" s="73" t="str">
        <f>IF(SalCommune[[#This Row],[Allocations fonctions]]="","",IF(ISNA(VLOOKUP(SalCommune[[#This Row],[Allocations fonctions]],DROPDOWN[Dropdown82],1,FALSE))=TRUE,"&lt;-- Veuillez choisir l'allocation parmis la liste déroulante.",""))</f>
        <v/>
      </c>
    </row>
    <row r="246" spans="1:34" x14ac:dyDescent="0.25">
      <c r="A246" s="73" t="str">
        <f>IF(SalCommune[[#This Row],[Statut]]="","",IF(ISNA(VLOOKUP(SalCommune[[#This Row],[Statut]],'Grille communale'!$B$3:$B$5,1,FALSE))=TRUE,"Veuillez choisir le statut parmis la liste déroulante",""))</f>
        <v/>
      </c>
      <c r="B246" s="8"/>
      <c r="C246" s="8"/>
      <c r="D246" s="8"/>
      <c r="E246" s="21"/>
      <c r="F246" s="8"/>
      <c r="G246" s="8"/>
      <c r="H246" s="9"/>
      <c r="I246" s="9"/>
      <c r="J246" s="9"/>
      <c r="K246" s="10"/>
      <c r="L246" s="10"/>
      <c r="M246" s="9"/>
      <c r="N246" s="9"/>
      <c r="O246" s="9"/>
      <c r="P246"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46" s="9"/>
      <c r="R246" s="9"/>
      <c r="S246" s="38"/>
      <c r="T246" s="38"/>
      <c r="U246" s="38"/>
      <c r="V246" s="38"/>
      <c r="W246" s="38"/>
      <c r="X246" s="67" t="str">
        <f>IF(COUNTA(SalCommune[[#This Row],[N°]:[heures annuelles
selon contrat(s)]])=0,"",SalCommune[[#This Row],[Brut]]+SalCommune[[#This Row],[Autres Primes]]+SalCommune[[#This Row],[Part patronale]]-ABS(SalCommune[[#This Row],[Remboursement Mutualité]])-ABS(SalCommune[[#This Row],[Remboursement
Autres]]))</f>
        <v/>
      </c>
      <c r="Y246" s="38"/>
      <c r="Z246"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46" s="8"/>
      <c r="AB246" s="64"/>
      <c r="AC246"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46"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46" s="505"/>
      <c r="AF246" s="187"/>
      <c r="AG246" s="200" t="str">
        <f>IF(COUNTA(SalCommune[[#This Row],[N°]:[heures annuelles
selon contrat(s)]])=0,"",REVEX!$E$9)</f>
        <v/>
      </c>
      <c r="AH246" s="73" t="str">
        <f>IF(SalCommune[[#This Row],[Allocations fonctions]]="","",IF(ISNA(VLOOKUP(SalCommune[[#This Row],[Allocations fonctions]],DROPDOWN[Dropdown82],1,FALSE))=TRUE,"&lt;-- Veuillez choisir l'allocation parmis la liste déroulante.",""))</f>
        <v/>
      </c>
    </row>
    <row r="247" spans="1:34" x14ac:dyDescent="0.25">
      <c r="A247" s="73" t="str">
        <f>IF(SalCommune[[#This Row],[Statut]]="","",IF(ISNA(VLOOKUP(SalCommune[[#This Row],[Statut]],'Grille communale'!$B$3:$B$5,1,FALSE))=TRUE,"Veuillez choisir le statut parmis la liste déroulante",""))</f>
        <v/>
      </c>
      <c r="B247" s="8"/>
      <c r="C247" s="8"/>
      <c r="D247" s="8"/>
      <c r="E247" s="21"/>
      <c r="F247" s="8"/>
      <c r="G247" s="8"/>
      <c r="H247" s="9"/>
      <c r="I247" s="9"/>
      <c r="J247" s="9"/>
      <c r="K247" s="10"/>
      <c r="L247" s="10"/>
      <c r="M247" s="9"/>
      <c r="N247" s="9"/>
      <c r="O247" s="9"/>
      <c r="P247"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47" s="9"/>
      <c r="R247" s="9"/>
      <c r="S247" s="38"/>
      <c r="T247" s="38"/>
      <c r="U247" s="38"/>
      <c r="V247" s="38"/>
      <c r="W247" s="38"/>
      <c r="X247" s="67" t="str">
        <f>IF(COUNTA(SalCommune[[#This Row],[N°]:[heures annuelles
selon contrat(s)]])=0,"",SalCommune[[#This Row],[Brut]]+SalCommune[[#This Row],[Autres Primes]]+SalCommune[[#This Row],[Part patronale]]-ABS(SalCommune[[#This Row],[Remboursement Mutualité]])-ABS(SalCommune[[#This Row],[Remboursement
Autres]]))</f>
        <v/>
      </c>
      <c r="Y247" s="38"/>
      <c r="Z247"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47" s="8"/>
      <c r="AB247" s="64"/>
      <c r="AC247"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47"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47" s="505"/>
      <c r="AF247" s="187"/>
      <c r="AG247" s="200" t="str">
        <f>IF(COUNTA(SalCommune[[#This Row],[N°]:[heures annuelles
selon contrat(s)]])=0,"",REVEX!$E$9)</f>
        <v/>
      </c>
      <c r="AH247" s="73" t="str">
        <f>IF(SalCommune[[#This Row],[Allocations fonctions]]="","",IF(ISNA(VLOOKUP(SalCommune[[#This Row],[Allocations fonctions]],DROPDOWN[Dropdown82],1,FALSE))=TRUE,"&lt;-- Veuillez choisir l'allocation parmis la liste déroulante.",""))</f>
        <v/>
      </c>
    </row>
    <row r="248" spans="1:34" x14ac:dyDescent="0.25">
      <c r="A248" s="73" t="str">
        <f>IF(SalCommune[[#This Row],[Statut]]="","",IF(ISNA(VLOOKUP(SalCommune[[#This Row],[Statut]],'Grille communale'!$B$3:$B$5,1,FALSE))=TRUE,"Veuillez choisir le statut parmis la liste déroulante",""))</f>
        <v/>
      </c>
      <c r="B248" s="8"/>
      <c r="C248" s="8"/>
      <c r="D248" s="8"/>
      <c r="E248" s="21"/>
      <c r="F248" s="8"/>
      <c r="G248" s="8"/>
      <c r="H248" s="9"/>
      <c r="I248" s="9"/>
      <c r="J248" s="9"/>
      <c r="K248" s="10"/>
      <c r="L248" s="10"/>
      <c r="M248" s="9"/>
      <c r="N248" s="9"/>
      <c r="O248" s="9"/>
      <c r="P248"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48" s="9"/>
      <c r="R248" s="9"/>
      <c r="S248" s="38"/>
      <c r="T248" s="38"/>
      <c r="U248" s="38"/>
      <c r="V248" s="38"/>
      <c r="W248" s="38"/>
      <c r="X248" s="67" t="str">
        <f>IF(COUNTA(SalCommune[[#This Row],[N°]:[heures annuelles
selon contrat(s)]])=0,"",SalCommune[[#This Row],[Brut]]+SalCommune[[#This Row],[Autres Primes]]+SalCommune[[#This Row],[Part patronale]]-ABS(SalCommune[[#This Row],[Remboursement Mutualité]])-ABS(SalCommune[[#This Row],[Remboursement
Autres]]))</f>
        <v/>
      </c>
      <c r="Y248" s="38"/>
      <c r="Z248"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48" s="8"/>
      <c r="AB248" s="64"/>
      <c r="AC248"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48"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48" s="505"/>
      <c r="AF248" s="187"/>
      <c r="AG248" s="200" t="str">
        <f>IF(COUNTA(SalCommune[[#This Row],[N°]:[heures annuelles
selon contrat(s)]])=0,"",REVEX!$E$9)</f>
        <v/>
      </c>
      <c r="AH248" s="73" t="str">
        <f>IF(SalCommune[[#This Row],[Allocations fonctions]]="","",IF(ISNA(VLOOKUP(SalCommune[[#This Row],[Allocations fonctions]],DROPDOWN[Dropdown82],1,FALSE))=TRUE,"&lt;-- Veuillez choisir l'allocation parmis la liste déroulante.",""))</f>
        <v/>
      </c>
    </row>
    <row r="249" spans="1:34" x14ac:dyDescent="0.25">
      <c r="A249" s="73" t="str">
        <f>IF(SalCommune[[#This Row],[Statut]]="","",IF(ISNA(VLOOKUP(SalCommune[[#This Row],[Statut]],'Grille communale'!$B$3:$B$5,1,FALSE))=TRUE,"Veuillez choisir le statut parmis la liste déroulante",""))</f>
        <v/>
      </c>
      <c r="B249" s="8"/>
      <c r="C249" s="8"/>
      <c r="D249" s="8"/>
      <c r="E249" s="21"/>
      <c r="F249" s="8"/>
      <c r="G249" s="8"/>
      <c r="H249" s="9"/>
      <c r="I249" s="9"/>
      <c r="J249" s="9"/>
      <c r="K249" s="10"/>
      <c r="L249" s="10"/>
      <c r="M249" s="9"/>
      <c r="N249" s="9"/>
      <c r="O249" s="9"/>
      <c r="P249"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49" s="9"/>
      <c r="R249" s="9"/>
      <c r="S249" s="38"/>
      <c r="T249" s="38"/>
      <c r="U249" s="38"/>
      <c r="V249" s="38"/>
      <c r="W249" s="38"/>
      <c r="X249" s="67" t="str">
        <f>IF(COUNTA(SalCommune[[#This Row],[N°]:[heures annuelles
selon contrat(s)]])=0,"",SalCommune[[#This Row],[Brut]]+SalCommune[[#This Row],[Autres Primes]]+SalCommune[[#This Row],[Part patronale]]-ABS(SalCommune[[#This Row],[Remboursement Mutualité]])-ABS(SalCommune[[#This Row],[Remboursement
Autres]]))</f>
        <v/>
      </c>
      <c r="Y249" s="38"/>
      <c r="Z249"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49" s="8"/>
      <c r="AB249" s="64"/>
      <c r="AC249"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49"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49" s="505"/>
      <c r="AF249" s="187"/>
      <c r="AG249" s="200" t="str">
        <f>IF(COUNTA(SalCommune[[#This Row],[N°]:[heures annuelles
selon contrat(s)]])=0,"",REVEX!$E$9)</f>
        <v/>
      </c>
      <c r="AH249" s="73" t="str">
        <f>IF(SalCommune[[#This Row],[Allocations fonctions]]="","",IF(ISNA(VLOOKUP(SalCommune[[#This Row],[Allocations fonctions]],DROPDOWN[Dropdown82],1,FALSE))=TRUE,"&lt;-- Veuillez choisir l'allocation parmis la liste déroulante.",""))</f>
        <v/>
      </c>
    </row>
    <row r="250" spans="1:34" x14ac:dyDescent="0.25">
      <c r="A250" s="73" t="str">
        <f>IF(SalCommune[[#This Row],[Statut]]="","",IF(ISNA(VLOOKUP(SalCommune[[#This Row],[Statut]],'Grille communale'!$B$3:$B$5,1,FALSE))=TRUE,"Veuillez choisir le statut parmis la liste déroulante",""))</f>
        <v/>
      </c>
      <c r="B250" s="8"/>
      <c r="C250" s="8"/>
      <c r="D250" s="8"/>
      <c r="E250" s="21"/>
      <c r="F250" s="8"/>
      <c r="G250" s="8"/>
      <c r="H250" s="9"/>
      <c r="I250" s="9"/>
      <c r="J250" s="9"/>
      <c r="K250" s="10"/>
      <c r="L250" s="10"/>
      <c r="M250" s="9"/>
      <c r="N250" s="9"/>
      <c r="O250" s="9"/>
      <c r="P250"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50" s="9"/>
      <c r="R250" s="9"/>
      <c r="S250" s="38"/>
      <c r="T250" s="38"/>
      <c r="U250" s="38"/>
      <c r="V250" s="38"/>
      <c r="W250" s="38"/>
      <c r="X250" s="67" t="str">
        <f>IF(COUNTA(SalCommune[[#This Row],[N°]:[heures annuelles
selon contrat(s)]])=0,"",SalCommune[[#This Row],[Brut]]+SalCommune[[#This Row],[Autres Primes]]+SalCommune[[#This Row],[Part patronale]]-ABS(SalCommune[[#This Row],[Remboursement Mutualité]])-ABS(SalCommune[[#This Row],[Remboursement
Autres]]))</f>
        <v/>
      </c>
      <c r="Y250" s="38"/>
      <c r="Z250"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50" s="8"/>
      <c r="AB250" s="64"/>
      <c r="AC250"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50"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50" s="505"/>
      <c r="AF250" s="187"/>
      <c r="AG250" s="200" t="str">
        <f>IF(COUNTA(SalCommune[[#This Row],[N°]:[heures annuelles
selon contrat(s)]])=0,"",REVEX!$E$9)</f>
        <v/>
      </c>
      <c r="AH250" s="73" t="str">
        <f>IF(SalCommune[[#This Row],[Allocations fonctions]]="","",IF(ISNA(VLOOKUP(SalCommune[[#This Row],[Allocations fonctions]],DROPDOWN[Dropdown82],1,FALSE))=TRUE,"&lt;-- Veuillez choisir l'allocation parmis la liste déroulante.",""))</f>
        <v/>
      </c>
    </row>
    <row r="251" spans="1:34" x14ac:dyDescent="0.25">
      <c r="A251" s="73" t="str">
        <f>IF(SalCommune[[#This Row],[Statut]]="","",IF(ISNA(VLOOKUP(SalCommune[[#This Row],[Statut]],'Grille communale'!$B$3:$B$5,1,FALSE))=TRUE,"Veuillez choisir le statut parmis la liste déroulante",""))</f>
        <v/>
      </c>
      <c r="B251" s="8"/>
      <c r="C251" s="8"/>
      <c r="D251" s="8"/>
      <c r="E251" s="21"/>
      <c r="F251" s="8"/>
      <c r="G251" s="8"/>
      <c r="H251" s="9"/>
      <c r="I251" s="9"/>
      <c r="J251" s="9"/>
      <c r="K251" s="10"/>
      <c r="L251" s="10"/>
      <c r="M251" s="9"/>
      <c r="N251" s="9"/>
      <c r="O251" s="9"/>
      <c r="P251"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51" s="9"/>
      <c r="R251" s="9"/>
      <c r="S251" s="38"/>
      <c r="T251" s="38"/>
      <c r="U251" s="38"/>
      <c r="V251" s="38"/>
      <c r="W251" s="38"/>
      <c r="X251" s="67" t="str">
        <f>IF(COUNTA(SalCommune[[#This Row],[N°]:[heures annuelles
selon contrat(s)]])=0,"",SalCommune[[#This Row],[Brut]]+SalCommune[[#This Row],[Autres Primes]]+SalCommune[[#This Row],[Part patronale]]-ABS(SalCommune[[#This Row],[Remboursement Mutualité]])-ABS(SalCommune[[#This Row],[Remboursement
Autres]]))</f>
        <v/>
      </c>
      <c r="Y251" s="38"/>
      <c r="Z251"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51" s="8"/>
      <c r="AB251" s="64"/>
      <c r="AC251"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51"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51" s="505"/>
      <c r="AF251" s="187"/>
      <c r="AG251" s="200" t="str">
        <f>IF(COUNTA(SalCommune[[#This Row],[N°]:[heures annuelles
selon contrat(s)]])=0,"",REVEX!$E$9)</f>
        <v/>
      </c>
      <c r="AH251" s="73" t="str">
        <f>IF(SalCommune[[#This Row],[Allocations fonctions]]="","",IF(ISNA(VLOOKUP(SalCommune[[#This Row],[Allocations fonctions]],DROPDOWN[Dropdown82],1,FALSE))=TRUE,"&lt;-- Veuillez choisir l'allocation parmis la liste déroulante.",""))</f>
        <v/>
      </c>
    </row>
    <row r="252" spans="1:34" x14ac:dyDescent="0.25">
      <c r="A252" s="73" t="str">
        <f>IF(SalCommune[[#This Row],[Statut]]="","",IF(ISNA(VLOOKUP(SalCommune[[#This Row],[Statut]],'Grille communale'!$B$3:$B$5,1,FALSE))=TRUE,"Veuillez choisir le statut parmis la liste déroulante",""))</f>
        <v/>
      </c>
      <c r="B252" s="8"/>
      <c r="C252" s="8"/>
      <c r="D252" s="8"/>
      <c r="E252" s="21"/>
      <c r="F252" s="8"/>
      <c r="G252" s="8"/>
      <c r="H252" s="9"/>
      <c r="I252" s="9"/>
      <c r="J252" s="9"/>
      <c r="K252" s="10"/>
      <c r="L252" s="10"/>
      <c r="M252" s="9"/>
      <c r="N252" s="9"/>
      <c r="O252" s="9"/>
      <c r="P252"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52" s="9"/>
      <c r="R252" s="9"/>
      <c r="S252" s="38"/>
      <c r="T252" s="38"/>
      <c r="U252" s="38"/>
      <c r="V252" s="38"/>
      <c r="W252" s="38"/>
      <c r="X252" s="67" t="str">
        <f>IF(COUNTA(SalCommune[[#This Row],[N°]:[heures annuelles
selon contrat(s)]])=0,"",SalCommune[[#This Row],[Brut]]+SalCommune[[#This Row],[Autres Primes]]+SalCommune[[#This Row],[Part patronale]]-ABS(SalCommune[[#This Row],[Remboursement Mutualité]])-ABS(SalCommune[[#This Row],[Remboursement
Autres]]))</f>
        <v/>
      </c>
      <c r="Y252" s="38"/>
      <c r="Z252"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52" s="8"/>
      <c r="AB252" s="64"/>
      <c r="AC252"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52"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52" s="505"/>
      <c r="AF252" s="187"/>
      <c r="AG252" s="200" t="str">
        <f>IF(COUNTA(SalCommune[[#This Row],[N°]:[heures annuelles
selon contrat(s)]])=0,"",REVEX!$E$9)</f>
        <v/>
      </c>
      <c r="AH252" s="73" t="str">
        <f>IF(SalCommune[[#This Row],[Allocations fonctions]]="","",IF(ISNA(VLOOKUP(SalCommune[[#This Row],[Allocations fonctions]],DROPDOWN[Dropdown82],1,FALSE))=TRUE,"&lt;-- Veuillez choisir l'allocation parmis la liste déroulante.",""))</f>
        <v/>
      </c>
    </row>
    <row r="253" spans="1:34" x14ac:dyDescent="0.25">
      <c r="A253" s="73" t="str">
        <f>IF(SalCommune[[#This Row],[Statut]]="","",IF(ISNA(VLOOKUP(SalCommune[[#This Row],[Statut]],'Grille communale'!$B$3:$B$5,1,FALSE))=TRUE,"Veuillez choisir le statut parmis la liste déroulante",""))</f>
        <v/>
      </c>
      <c r="B253" s="8"/>
      <c r="C253" s="8"/>
      <c r="D253" s="8"/>
      <c r="E253" s="21"/>
      <c r="F253" s="8"/>
      <c r="G253" s="8"/>
      <c r="H253" s="9"/>
      <c r="I253" s="9"/>
      <c r="J253" s="9"/>
      <c r="K253" s="10"/>
      <c r="L253" s="10"/>
      <c r="M253" s="9"/>
      <c r="N253" s="9"/>
      <c r="O253" s="9"/>
      <c r="P253"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53" s="9"/>
      <c r="R253" s="9"/>
      <c r="S253" s="38"/>
      <c r="T253" s="38"/>
      <c r="U253" s="38"/>
      <c r="V253" s="38"/>
      <c r="W253" s="38"/>
      <c r="X253" s="67" t="str">
        <f>IF(COUNTA(SalCommune[[#This Row],[N°]:[heures annuelles
selon contrat(s)]])=0,"",SalCommune[[#This Row],[Brut]]+SalCommune[[#This Row],[Autres Primes]]+SalCommune[[#This Row],[Part patronale]]-ABS(SalCommune[[#This Row],[Remboursement Mutualité]])-ABS(SalCommune[[#This Row],[Remboursement
Autres]]))</f>
        <v/>
      </c>
      <c r="Y253" s="38"/>
      <c r="Z253"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53" s="8"/>
      <c r="AB253" s="64"/>
      <c r="AC253"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53"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53" s="505"/>
      <c r="AF253" s="187"/>
      <c r="AG253" s="200" t="str">
        <f>IF(COUNTA(SalCommune[[#This Row],[N°]:[heures annuelles
selon contrat(s)]])=0,"",REVEX!$E$9)</f>
        <v/>
      </c>
      <c r="AH253" s="73" t="str">
        <f>IF(SalCommune[[#This Row],[Allocations fonctions]]="","",IF(ISNA(VLOOKUP(SalCommune[[#This Row],[Allocations fonctions]],DROPDOWN[Dropdown82],1,FALSE))=TRUE,"&lt;-- Veuillez choisir l'allocation parmis la liste déroulante.",""))</f>
        <v/>
      </c>
    </row>
    <row r="254" spans="1:34" x14ac:dyDescent="0.25">
      <c r="A254" s="73" t="str">
        <f>IF(SalCommune[[#This Row],[Statut]]="","",IF(ISNA(VLOOKUP(SalCommune[[#This Row],[Statut]],'Grille communale'!$B$3:$B$5,1,FALSE))=TRUE,"Veuillez choisir le statut parmis la liste déroulante",""))</f>
        <v/>
      </c>
      <c r="B254" s="8"/>
      <c r="C254" s="8"/>
      <c r="D254" s="8"/>
      <c r="E254" s="21"/>
      <c r="F254" s="8"/>
      <c r="G254" s="8"/>
      <c r="H254" s="9"/>
      <c r="I254" s="9"/>
      <c r="J254" s="9"/>
      <c r="K254" s="10"/>
      <c r="L254" s="10"/>
      <c r="M254" s="9"/>
      <c r="N254" s="9"/>
      <c r="O254" s="9"/>
      <c r="P254"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54" s="9"/>
      <c r="R254" s="9"/>
      <c r="S254" s="38"/>
      <c r="T254" s="38"/>
      <c r="U254" s="38"/>
      <c r="V254" s="38"/>
      <c r="W254" s="38"/>
      <c r="X254" s="67" t="str">
        <f>IF(COUNTA(SalCommune[[#This Row],[N°]:[heures annuelles
selon contrat(s)]])=0,"",SalCommune[[#This Row],[Brut]]+SalCommune[[#This Row],[Autres Primes]]+SalCommune[[#This Row],[Part patronale]]-ABS(SalCommune[[#This Row],[Remboursement Mutualité]])-ABS(SalCommune[[#This Row],[Remboursement
Autres]]))</f>
        <v/>
      </c>
      <c r="Y254" s="38"/>
      <c r="Z254"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54" s="8"/>
      <c r="AB254" s="64"/>
      <c r="AC254"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54"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54" s="505"/>
      <c r="AF254" s="187"/>
      <c r="AG254" s="200" t="str">
        <f>IF(COUNTA(SalCommune[[#This Row],[N°]:[heures annuelles
selon contrat(s)]])=0,"",REVEX!$E$9)</f>
        <v/>
      </c>
      <c r="AH254" s="73" t="str">
        <f>IF(SalCommune[[#This Row],[Allocations fonctions]]="","",IF(ISNA(VLOOKUP(SalCommune[[#This Row],[Allocations fonctions]],DROPDOWN[Dropdown82],1,FALSE))=TRUE,"&lt;-- Veuillez choisir l'allocation parmis la liste déroulante.",""))</f>
        <v/>
      </c>
    </row>
    <row r="255" spans="1:34" x14ac:dyDescent="0.25">
      <c r="A255" s="73" t="str">
        <f>IF(SalCommune[[#This Row],[Statut]]="","",IF(ISNA(VLOOKUP(SalCommune[[#This Row],[Statut]],'Grille communale'!$B$3:$B$5,1,FALSE))=TRUE,"Veuillez choisir le statut parmis la liste déroulante",""))</f>
        <v/>
      </c>
      <c r="B255" s="8"/>
      <c r="C255" s="8"/>
      <c r="D255" s="8"/>
      <c r="E255" s="21"/>
      <c r="F255" s="8"/>
      <c r="G255" s="8"/>
      <c r="H255" s="9"/>
      <c r="I255" s="9"/>
      <c r="J255" s="9"/>
      <c r="K255" s="10"/>
      <c r="L255" s="10"/>
      <c r="M255" s="9"/>
      <c r="N255" s="9"/>
      <c r="O255" s="9"/>
      <c r="P255"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55" s="9"/>
      <c r="R255" s="9"/>
      <c r="S255" s="38"/>
      <c r="T255" s="38"/>
      <c r="U255" s="38"/>
      <c r="V255" s="38"/>
      <c r="W255" s="38"/>
      <c r="X255" s="67" t="str">
        <f>IF(COUNTA(SalCommune[[#This Row],[N°]:[heures annuelles
selon contrat(s)]])=0,"",SalCommune[[#This Row],[Brut]]+SalCommune[[#This Row],[Autres Primes]]+SalCommune[[#This Row],[Part patronale]]-ABS(SalCommune[[#This Row],[Remboursement Mutualité]])-ABS(SalCommune[[#This Row],[Remboursement
Autres]]))</f>
        <v/>
      </c>
      <c r="Y255" s="38"/>
      <c r="Z255"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55" s="8"/>
      <c r="AB255" s="64"/>
      <c r="AC255"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55"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55" s="505"/>
      <c r="AF255" s="187"/>
      <c r="AG255" s="200" t="str">
        <f>IF(COUNTA(SalCommune[[#This Row],[N°]:[heures annuelles
selon contrat(s)]])=0,"",REVEX!$E$9)</f>
        <v/>
      </c>
      <c r="AH255" s="73" t="str">
        <f>IF(SalCommune[[#This Row],[Allocations fonctions]]="","",IF(ISNA(VLOOKUP(SalCommune[[#This Row],[Allocations fonctions]],DROPDOWN[Dropdown82],1,FALSE))=TRUE,"&lt;-- Veuillez choisir l'allocation parmis la liste déroulante.",""))</f>
        <v/>
      </c>
    </row>
    <row r="256" spans="1:34" x14ac:dyDescent="0.25">
      <c r="A256" s="73" t="str">
        <f>IF(SalCommune[[#This Row],[Statut]]="","",IF(ISNA(VLOOKUP(SalCommune[[#This Row],[Statut]],'Grille communale'!$B$3:$B$5,1,FALSE))=TRUE,"Veuillez choisir le statut parmis la liste déroulante",""))</f>
        <v/>
      </c>
      <c r="B256" s="8"/>
      <c r="C256" s="8"/>
      <c r="D256" s="8"/>
      <c r="E256" s="21"/>
      <c r="F256" s="8"/>
      <c r="G256" s="8"/>
      <c r="H256" s="9"/>
      <c r="I256" s="9"/>
      <c r="J256" s="9"/>
      <c r="K256" s="10"/>
      <c r="L256" s="10"/>
      <c r="M256" s="9"/>
      <c r="N256" s="9"/>
      <c r="O256" s="9"/>
      <c r="P256"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56" s="9"/>
      <c r="R256" s="9"/>
      <c r="S256" s="38"/>
      <c r="T256" s="38"/>
      <c r="U256" s="38"/>
      <c r="V256" s="38"/>
      <c r="W256" s="38"/>
      <c r="X256" s="67" t="str">
        <f>IF(COUNTA(SalCommune[[#This Row],[N°]:[heures annuelles
selon contrat(s)]])=0,"",SalCommune[[#This Row],[Brut]]+SalCommune[[#This Row],[Autres Primes]]+SalCommune[[#This Row],[Part patronale]]-ABS(SalCommune[[#This Row],[Remboursement Mutualité]])-ABS(SalCommune[[#This Row],[Remboursement
Autres]]))</f>
        <v/>
      </c>
      <c r="Y256" s="38"/>
      <c r="Z256"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56" s="8"/>
      <c r="AB256" s="64"/>
      <c r="AC256"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56"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56" s="505"/>
      <c r="AF256" s="187"/>
      <c r="AG256" s="200" t="str">
        <f>IF(COUNTA(SalCommune[[#This Row],[N°]:[heures annuelles
selon contrat(s)]])=0,"",REVEX!$E$9)</f>
        <v/>
      </c>
      <c r="AH256" s="73" t="str">
        <f>IF(SalCommune[[#This Row],[Allocations fonctions]]="","",IF(ISNA(VLOOKUP(SalCommune[[#This Row],[Allocations fonctions]],DROPDOWN[Dropdown82],1,FALSE))=TRUE,"&lt;-- Veuillez choisir l'allocation parmis la liste déroulante.",""))</f>
        <v/>
      </c>
    </row>
    <row r="257" spans="1:34" x14ac:dyDescent="0.25">
      <c r="A257" s="73" t="str">
        <f>IF(SalCommune[[#This Row],[Statut]]="","",IF(ISNA(VLOOKUP(SalCommune[[#This Row],[Statut]],'Grille communale'!$B$3:$B$5,1,FALSE))=TRUE,"Veuillez choisir le statut parmis la liste déroulante",""))</f>
        <v/>
      </c>
      <c r="B257" s="8"/>
      <c r="C257" s="8"/>
      <c r="D257" s="8"/>
      <c r="E257" s="21"/>
      <c r="F257" s="8"/>
      <c r="G257" s="8"/>
      <c r="H257" s="9"/>
      <c r="I257" s="9"/>
      <c r="J257" s="9"/>
      <c r="K257" s="10"/>
      <c r="L257" s="10"/>
      <c r="M257" s="9"/>
      <c r="N257" s="9"/>
      <c r="O257" s="9"/>
      <c r="P257"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57" s="9"/>
      <c r="R257" s="9"/>
      <c r="S257" s="38"/>
      <c r="T257" s="38"/>
      <c r="U257" s="38"/>
      <c r="V257" s="38"/>
      <c r="W257" s="38"/>
      <c r="X257" s="67" t="str">
        <f>IF(COUNTA(SalCommune[[#This Row],[N°]:[heures annuelles
selon contrat(s)]])=0,"",SalCommune[[#This Row],[Brut]]+SalCommune[[#This Row],[Autres Primes]]+SalCommune[[#This Row],[Part patronale]]-ABS(SalCommune[[#This Row],[Remboursement Mutualité]])-ABS(SalCommune[[#This Row],[Remboursement
Autres]]))</f>
        <v/>
      </c>
      <c r="Y257" s="38"/>
      <c r="Z257"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57" s="8"/>
      <c r="AB257" s="64"/>
      <c r="AC257"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57"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57" s="505"/>
      <c r="AF257" s="187"/>
      <c r="AG257" s="200" t="str">
        <f>IF(COUNTA(SalCommune[[#This Row],[N°]:[heures annuelles
selon contrat(s)]])=0,"",REVEX!$E$9)</f>
        <v/>
      </c>
      <c r="AH257" s="73" t="str">
        <f>IF(SalCommune[[#This Row],[Allocations fonctions]]="","",IF(ISNA(VLOOKUP(SalCommune[[#This Row],[Allocations fonctions]],DROPDOWN[Dropdown82],1,FALSE))=TRUE,"&lt;-- Veuillez choisir l'allocation parmis la liste déroulante.",""))</f>
        <v/>
      </c>
    </row>
    <row r="258" spans="1:34" x14ac:dyDescent="0.25">
      <c r="A258" s="73" t="str">
        <f>IF(SalCommune[[#This Row],[Statut]]="","",IF(ISNA(VLOOKUP(SalCommune[[#This Row],[Statut]],'Grille communale'!$B$3:$B$5,1,FALSE))=TRUE,"Veuillez choisir le statut parmis la liste déroulante",""))</f>
        <v/>
      </c>
      <c r="B258" s="8"/>
      <c r="C258" s="8"/>
      <c r="D258" s="8"/>
      <c r="E258" s="21"/>
      <c r="F258" s="8"/>
      <c r="G258" s="8"/>
      <c r="H258" s="9"/>
      <c r="I258" s="9"/>
      <c r="J258" s="9"/>
      <c r="K258" s="10"/>
      <c r="L258" s="10"/>
      <c r="M258" s="9"/>
      <c r="N258" s="9"/>
      <c r="O258" s="9"/>
      <c r="P258"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58" s="9"/>
      <c r="R258" s="9"/>
      <c r="S258" s="38"/>
      <c r="T258" s="38"/>
      <c r="U258" s="38"/>
      <c r="V258" s="38"/>
      <c r="W258" s="38"/>
      <c r="X258" s="67" t="str">
        <f>IF(COUNTA(SalCommune[[#This Row],[N°]:[heures annuelles
selon contrat(s)]])=0,"",SalCommune[[#This Row],[Brut]]+SalCommune[[#This Row],[Autres Primes]]+SalCommune[[#This Row],[Part patronale]]-ABS(SalCommune[[#This Row],[Remboursement Mutualité]])-ABS(SalCommune[[#This Row],[Remboursement
Autres]]))</f>
        <v/>
      </c>
      <c r="Y258" s="38"/>
      <c r="Z258"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58" s="8"/>
      <c r="AB258" s="64"/>
      <c r="AC258"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58"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58" s="505"/>
      <c r="AF258" s="187"/>
      <c r="AG258" s="200" t="str">
        <f>IF(COUNTA(SalCommune[[#This Row],[N°]:[heures annuelles
selon contrat(s)]])=0,"",REVEX!$E$9)</f>
        <v/>
      </c>
      <c r="AH258" s="73" t="str">
        <f>IF(SalCommune[[#This Row],[Allocations fonctions]]="","",IF(ISNA(VLOOKUP(SalCommune[[#This Row],[Allocations fonctions]],DROPDOWN[Dropdown82],1,FALSE))=TRUE,"&lt;-- Veuillez choisir l'allocation parmis la liste déroulante.",""))</f>
        <v/>
      </c>
    </row>
    <row r="259" spans="1:34" x14ac:dyDescent="0.25">
      <c r="A259" s="73" t="str">
        <f>IF(SalCommune[[#This Row],[Statut]]="","",IF(ISNA(VLOOKUP(SalCommune[[#This Row],[Statut]],'Grille communale'!$B$3:$B$5,1,FALSE))=TRUE,"Veuillez choisir le statut parmis la liste déroulante",""))</f>
        <v/>
      </c>
      <c r="B259" s="8"/>
      <c r="C259" s="8"/>
      <c r="D259" s="8"/>
      <c r="E259" s="21"/>
      <c r="F259" s="8"/>
      <c r="G259" s="8"/>
      <c r="H259" s="9"/>
      <c r="I259" s="9"/>
      <c r="J259" s="9"/>
      <c r="K259" s="10"/>
      <c r="L259" s="10"/>
      <c r="M259" s="9"/>
      <c r="N259" s="9"/>
      <c r="O259" s="9"/>
      <c r="P259"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59" s="9"/>
      <c r="R259" s="9"/>
      <c r="S259" s="38"/>
      <c r="T259" s="38"/>
      <c r="U259" s="38"/>
      <c r="V259" s="38"/>
      <c r="W259" s="38"/>
      <c r="X259" s="67" t="str">
        <f>IF(COUNTA(SalCommune[[#This Row],[N°]:[heures annuelles
selon contrat(s)]])=0,"",SalCommune[[#This Row],[Brut]]+SalCommune[[#This Row],[Autres Primes]]+SalCommune[[#This Row],[Part patronale]]-ABS(SalCommune[[#This Row],[Remboursement Mutualité]])-ABS(SalCommune[[#This Row],[Remboursement
Autres]]))</f>
        <v/>
      </c>
      <c r="Y259" s="38"/>
      <c r="Z259"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59" s="8"/>
      <c r="AB259" s="64"/>
      <c r="AC259"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59"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59" s="505"/>
      <c r="AF259" s="187"/>
      <c r="AG259" s="200" t="str">
        <f>IF(COUNTA(SalCommune[[#This Row],[N°]:[heures annuelles
selon contrat(s)]])=0,"",REVEX!$E$9)</f>
        <v/>
      </c>
      <c r="AH259" s="73" t="str">
        <f>IF(SalCommune[[#This Row],[Allocations fonctions]]="","",IF(ISNA(VLOOKUP(SalCommune[[#This Row],[Allocations fonctions]],DROPDOWN[Dropdown82],1,FALSE))=TRUE,"&lt;-- Veuillez choisir l'allocation parmis la liste déroulante.",""))</f>
        <v/>
      </c>
    </row>
    <row r="260" spans="1:34" x14ac:dyDescent="0.25">
      <c r="A260" s="73" t="str">
        <f>IF(SalCommune[[#This Row],[Statut]]="","",IF(ISNA(VLOOKUP(SalCommune[[#This Row],[Statut]],'Grille communale'!$B$3:$B$5,1,FALSE))=TRUE,"Veuillez choisir le statut parmis la liste déroulante",""))</f>
        <v/>
      </c>
      <c r="B260" s="8"/>
      <c r="C260" s="8"/>
      <c r="D260" s="8"/>
      <c r="E260" s="21"/>
      <c r="F260" s="8"/>
      <c r="G260" s="8"/>
      <c r="H260" s="9"/>
      <c r="I260" s="9"/>
      <c r="J260" s="9"/>
      <c r="K260" s="10"/>
      <c r="L260" s="10"/>
      <c r="M260" s="9"/>
      <c r="N260" s="9"/>
      <c r="O260" s="9"/>
      <c r="P260"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60" s="9"/>
      <c r="R260" s="9"/>
      <c r="S260" s="38"/>
      <c r="T260" s="38"/>
      <c r="U260" s="38"/>
      <c r="V260" s="38"/>
      <c r="W260" s="38"/>
      <c r="X260" s="67" t="str">
        <f>IF(COUNTA(SalCommune[[#This Row],[N°]:[heures annuelles
selon contrat(s)]])=0,"",SalCommune[[#This Row],[Brut]]+SalCommune[[#This Row],[Autres Primes]]+SalCommune[[#This Row],[Part patronale]]-ABS(SalCommune[[#This Row],[Remboursement Mutualité]])-ABS(SalCommune[[#This Row],[Remboursement
Autres]]))</f>
        <v/>
      </c>
      <c r="Y260" s="38"/>
      <c r="Z260"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60" s="8"/>
      <c r="AB260" s="64"/>
      <c r="AC260"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60"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60" s="505"/>
      <c r="AF260" s="187"/>
      <c r="AG260" s="200" t="str">
        <f>IF(COUNTA(SalCommune[[#This Row],[N°]:[heures annuelles
selon contrat(s)]])=0,"",REVEX!$E$9)</f>
        <v/>
      </c>
      <c r="AH260" s="73" t="str">
        <f>IF(SalCommune[[#This Row],[Allocations fonctions]]="","",IF(ISNA(VLOOKUP(SalCommune[[#This Row],[Allocations fonctions]],DROPDOWN[Dropdown82],1,FALSE))=TRUE,"&lt;-- Veuillez choisir l'allocation parmis la liste déroulante.",""))</f>
        <v/>
      </c>
    </row>
    <row r="261" spans="1:34" x14ac:dyDescent="0.25">
      <c r="A261" s="73" t="str">
        <f>IF(SalCommune[[#This Row],[Statut]]="","",IF(ISNA(VLOOKUP(SalCommune[[#This Row],[Statut]],'Grille communale'!$B$3:$B$5,1,FALSE))=TRUE,"Veuillez choisir le statut parmis la liste déroulante",""))</f>
        <v/>
      </c>
      <c r="B261" s="8"/>
      <c r="C261" s="8"/>
      <c r="D261" s="8"/>
      <c r="E261" s="21"/>
      <c r="F261" s="8"/>
      <c r="G261" s="8"/>
      <c r="H261" s="9"/>
      <c r="I261" s="9"/>
      <c r="J261" s="9"/>
      <c r="K261" s="10"/>
      <c r="L261" s="10"/>
      <c r="M261" s="9"/>
      <c r="N261" s="9"/>
      <c r="O261" s="9"/>
      <c r="P261"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61" s="9"/>
      <c r="R261" s="9"/>
      <c r="S261" s="38"/>
      <c r="T261" s="38"/>
      <c r="U261" s="38"/>
      <c r="V261" s="38"/>
      <c r="W261" s="38"/>
      <c r="X261" s="67" t="str">
        <f>IF(COUNTA(SalCommune[[#This Row],[N°]:[heures annuelles
selon contrat(s)]])=0,"",SalCommune[[#This Row],[Brut]]+SalCommune[[#This Row],[Autres Primes]]+SalCommune[[#This Row],[Part patronale]]-ABS(SalCommune[[#This Row],[Remboursement Mutualité]])-ABS(SalCommune[[#This Row],[Remboursement
Autres]]))</f>
        <v/>
      </c>
      <c r="Y261" s="38"/>
      <c r="Z261"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61" s="8"/>
      <c r="AB261" s="64"/>
      <c r="AC261"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61"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61" s="505"/>
      <c r="AF261" s="187"/>
      <c r="AG261" s="200" t="str">
        <f>IF(COUNTA(SalCommune[[#This Row],[N°]:[heures annuelles
selon contrat(s)]])=0,"",REVEX!$E$9)</f>
        <v/>
      </c>
      <c r="AH261" s="73" t="str">
        <f>IF(SalCommune[[#This Row],[Allocations fonctions]]="","",IF(ISNA(VLOOKUP(SalCommune[[#This Row],[Allocations fonctions]],DROPDOWN[Dropdown82],1,FALSE))=TRUE,"&lt;-- Veuillez choisir l'allocation parmis la liste déroulante.",""))</f>
        <v/>
      </c>
    </row>
    <row r="262" spans="1:34" x14ac:dyDescent="0.25">
      <c r="A262" s="73" t="str">
        <f>IF(SalCommune[[#This Row],[Statut]]="","",IF(ISNA(VLOOKUP(SalCommune[[#This Row],[Statut]],'Grille communale'!$B$3:$B$5,1,FALSE))=TRUE,"Veuillez choisir le statut parmis la liste déroulante",""))</f>
        <v/>
      </c>
      <c r="B262" s="8"/>
      <c r="C262" s="8"/>
      <c r="D262" s="8"/>
      <c r="E262" s="21"/>
      <c r="F262" s="8"/>
      <c r="G262" s="8"/>
      <c r="H262" s="9"/>
      <c r="I262" s="9"/>
      <c r="J262" s="9"/>
      <c r="K262" s="10"/>
      <c r="L262" s="10"/>
      <c r="M262" s="9"/>
      <c r="N262" s="9"/>
      <c r="O262" s="9"/>
      <c r="P262"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62" s="9"/>
      <c r="R262" s="9"/>
      <c r="S262" s="38"/>
      <c r="T262" s="38"/>
      <c r="U262" s="38"/>
      <c r="V262" s="38"/>
      <c r="W262" s="38"/>
      <c r="X262" s="67" t="str">
        <f>IF(COUNTA(SalCommune[[#This Row],[N°]:[heures annuelles
selon contrat(s)]])=0,"",SalCommune[[#This Row],[Brut]]+SalCommune[[#This Row],[Autres Primes]]+SalCommune[[#This Row],[Part patronale]]-ABS(SalCommune[[#This Row],[Remboursement Mutualité]])-ABS(SalCommune[[#This Row],[Remboursement
Autres]]))</f>
        <v/>
      </c>
      <c r="Y262" s="38"/>
      <c r="Z262"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62" s="8"/>
      <c r="AB262" s="64"/>
      <c r="AC262"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62"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62" s="505"/>
      <c r="AF262" s="187"/>
      <c r="AG262" s="200" t="str">
        <f>IF(COUNTA(SalCommune[[#This Row],[N°]:[heures annuelles
selon contrat(s)]])=0,"",REVEX!$E$9)</f>
        <v/>
      </c>
      <c r="AH262" s="73" t="str">
        <f>IF(SalCommune[[#This Row],[Allocations fonctions]]="","",IF(ISNA(VLOOKUP(SalCommune[[#This Row],[Allocations fonctions]],DROPDOWN[Dropdown82],1,FALSE))=TRUE,"&lt;-- Veuillez choisir l'allocation parmis la liste déroulante.",""))</f>
        <v/>
      </c>
    </row>
    <row r="263" spans="1:34" x14ac:dyDescent="0.25">
      <c r="A263" s="73" t="str">
        <f>IF(SalCommune[[#This Row],[Statut]]="","",IF(ISNA(VLOOKUP(SalCommune[[#This Row],[Statut]],'Grille communale'!$B$3:$B$5,1,FALSE))=TRUE,"Veuillez choisir le statut parmis la liste déroulante",""))</f>
        <v/>
      </c>
      <c r="B263" s="8"/>
      <c r="C263" s="8"/>
      <c r="D263" s="8"/>
      <c r="E263" s="21"/>
      <c r="F263" s="8"/>
      <c r="G263" s="8"/>
      <c r="H263" s="9"/>
      <c r="I263" s="9"/>
      <c r="J263" s="9"/>
      <c r="K263" s="10"/>
      <c r="L263" s="10"/>
      <c r="M263" s="9"/>
      <c r="N263" s="9"/>
      <c r="O263" s="9"/>
      <c r="P263"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63" s="9"/>
      <c r="R263" s="9"/>
      <c r="S263" s="38"/>
      <c r="T263" s="38"/>
      <c r="U263" s="38"/>
      <c r="V263" s="38"/>
      <c r="W263" s="38"/>
      <c r="X263" s="67" t="str">
        <f>IF(COUNTA(SalCommune[[#This Row],[N°]:[heures annuelles
selon contrat(s)]])=0,"",SalCommune[[#This Row],[Brut]]+SalCommune[[#This Row],[Autres Primes]]+SalCommune[[#This Row],[Part patronale]]-ABS(SalCommune[[#This Row],[Remboursement Mutualité]])-ABS(SalCommune[[#This Row],[Remboursement
Autres]]))</f>
        <v/>
      </c>
      <c r="Y263" s="38"/>
      <c r="Z263"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63" s="8"/>
      <c r="AB263" s="64"/>
      <c r="AC263"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63"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63" s="505"/>
      <c r="AF263" s="187"/>
      <c r="AG263" s="200" t="str">
        <f>IF(COUNTA(SalCommune[[#This Row],[N°]:[heures annuelles
selon contrat(s)]])=0,"",REVEX!$E$9)</f>
        <v/>
      </c>
      <c r="AH263" s="73" t="str">
        <f>IF(SalCommune[[#This Row],[Allocations fonctions]]="","",IF(ISNA(VLOOKUP(SalCommune[[#This Row],[Allocations fonctions]],DROPDOWN[Dropdown82],1,FALSE))=TRUE,"&lt;-- Veuillez choisir l'allocation parmis la liste déroulante.",""))</f>
        <v/>
      </c>
    </row>
    <row r="264" spans="1:34" x14ac:dyDescent="0.25">
      <c r="A264" s="73" t="str">
        <f>IF(SalCommune[[#This Row],[Statut]]="","",IF(ISNA(VLOOKUP(SalCommune[[#This Row],[Statut]],'Grille communale'!$B$3:$B$5,1,FALSE))=TRUE,"Veuillez choisir le statut parmis la liste déroulante",""))</f>
        <v/>
      </c>
      <c r="B264" s="8"/>
      <c r="C264" s="8"/>
      <c r="D264" s="8"/>
      <c r="E264" s="21"/>
      <c r="F264" s="8"/>
      <c r="G264" s="8"/>
      <c r="H264" s="9"/>
      <c r="I264" s="9"/>
      <c r="J264" s="9"/>
      <c r="K264" s="10"/>
      <c r="L264" s="10"/>
      <c r="M264" s="9"/>
      <c r="N264" s="9"/>
      <c r="O264" s="9"/>
      <c r="P264"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64" s="9"/>
      <c r="R264" s="9"/>
      <c r="S264" s="38"/>
      <c r="T264" s="38"/>
      <c r="U264" s="38"/>
      <c r="V264" s="38"/>
      <c r="W264" s="38"/>
      <c r="X264" s="67" t="str">
        <f>IF(COUNTA(SalCommune[[#This Row],[N°]:[heures annuelles
selon contrat(s)]])=0,"",SalCommune[[#This Row],[Brut]]+SalCommune[[#This Row],[Autres Primes]]+SalCommune[[#This Row],[Part patronale]]-ABS(SalCommune[[#This Row],[Remboursement Mutualité]])-ABS(SalCommune[[#This Row],[Remboursement
Autres]]))</f>
        <v/>
      </c>
      <c r="Y264" s="38"/>
      <c r="Z264"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64" s="8"/>
      <c r="AB264" s="64"/>
      <c r="AC264"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64"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64" s="505"/>
      <c r="AF264" s="187"/>
      <c r="AG264" s="200" t="str">
        <f>IF(COUNTA(SalCommune[[#This Row],[N°]:[heures annuelles
selon contrat(s)]])=0,"",REVEX!$E$9)</f>
        <v/>
      </c>
      <c r="AH264" s="73" t="str">
        <f>IF(SalCommune[[#This Row],[Allocations fonctions]]="","",IF(ISNA(VLOOKUP(SalCommune[[#This Row],[Allocations fonctions]],DROPDOWN[Dropdown82],1,FALSE))=TRUE,"&lt;-- Veuillez choisir l'allocation parmis la liste déroulante.",""))</f>
        <v/>
      </c>
    </row>
    <row r="265" spans="1:34" x14ac:dyDescent="0.25">
      <c r="A265" s="73" t="str">
        <f>IF(SalCommune[[#This Row],[Statut]]="","",IF(ISNA(VLOOKUP(SalCommune[[#This Row],[Statut]],'Grille communale'!$B$3:$B$5,1,FALSE))=TRUE,"Veuillez choisir le statut parmis la liste déroulante",""))</f>
        <v/>
      </c>
      <c r="B265" s="8"/>
      <c r="C265" s="8"/>
      <c r="D265" s="8"/>
      <c r="E265" s="21"/>
      <c r="F265" s="8"/>
      <c r="G265" s="8"/>
      <c r="H265" s="9"/>
      <c r="I265" s="9"/>
      <c r="J265" s="9"/>
      <c r="K265" s="10"/>
      <c r="L265" s="10"/>
      <c r="M265" s="9"/>
      <c r="N265" s="9"/>
      <c r="O265" s="9"/>
      <c r="P265"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65" s="9"/>
      <c r="R265" s="9"/>
      <c r="S265" s="38"/>
      <c r="T265" s="38"/>
      <c r="U265" s="38"/>
      <c r="V265" s="38"/>
      <c r="W265" s="38"/>
      <c r="X265" s="67" t="str">
        <f>IF(COUNTA(SalCommune[[#This Row],[N°]:[heures annuelles
selon contrat(s)]])=0,"",SalCommune[[#This Row],[Brut]]+SalCommune[[#This Row],[Autres Primes]]+SalCommune[[#This Row],[Part patronale]]-ABS(SalCommune[[#This Row],[Remboursement Mutualité]])-ABS(SalCommune[[#This Row],[Remboursement
Autres]]))</f>
        <v/>
      </c>
      <c r="Y265" s="38"/>
      <c r="Z265"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65" s="8"/>
      <c r="AB265" s="64"/>
      <c r="AC265"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65"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65" s="505"/>
      <c r="AF265" s="187"/>
      <c r="AG265" s="200" t="str">
        <f>IF(COUNTA(SalCommune[[#This Row],[N°]:[heures annuelles
selon contrat(s)]])=0,"",REVEX!$E$9)</f>
        <v/>
      </c>
      <c r="AH265" s="73" t="str">
        <f>IF(SalCommune[[#This Row],[Allocations fonctions]]="","",IF(ISNA(VLOOKUP(SalCommune[[#This Row],[Allocations fonctions]],DROPDOWN[Dropdown82],1,FALSE))=TRUE,"&lt;-- Veuillez choisir l'allocation parmis la liste déroulante.",""))</f>
        <v/>
      </c>
    </row>
    <row r="266" spans="1:34" x14ac:dyDescent="0.25">
      <c r="A266" s="73" t="str">
        <f>IF(SalCommune[[#This Row],[Statut]]="","",IF(ISNA(VLOOKUP(SalCommune[[#This Row],[Statut]],'Grille communale'!$B$3:$B$5,1,FALSE))=TRUE,"Veuillez choisir le statut parmis la liste déroulante",""))</f>
        <v/>
      </c>
      <c r="B266" s="8"/>
      <c r="C266" s="8"/>
      <c r="D266" s="8"/>
      <c r="E266" s="21"/>
      <c r="F266" s="8"/>
      <c r="G266" s="8"/>
      <c r="H266" s="9"/>
      <c r="I266" s="9"/>
      <c r="J266" s="9"/>
      <c r="K266" s="10"/>
      <c r="L266" s="10"/>
      <c r="M266" s="9"/>
      <c r="N266" s="9"/>
      <c r="O266" s="9"/>
      <c r="P266"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66" s="9"/>
      <c r="R266" s="9"/>
      <c r="S266" s="38"/>
      <c r="T266" s="38"/>
      <c r="U266" s="38"/>
      <c r="V266" s="38"/>
      <c r="W266" s="38"/>
      <c r="X266" s="67" t="str">
        <f>IF(COUNTA(SalCommune[[#This Row],[N°]:[heures annuelles
selon contrat(s)]])=0,"",SalCommune[[#This Row],[Brut]]+SalCommune[[#This Row],[Autres Primes]]+SalCommune[[#This Row],[Part patronale]]-ABS(SalCommune[[#This Row],[Remboursement Mutualité]])-ABS(SalCommune[[#This Row],[Remboursement
Autres]]))</f>
        <v/>
      </c>
      <c r="Y266" s="38"/>
      <c r="Z266"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66" s="8"/>
      <c r="AB266" s="64"/>
      <c r="AC266"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66"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66" s="505"/>
      <c r="AF266" s="187"/>
      <c r="AG266" s="200" t="str">
        <f>IF(COUNTA(SalCommune[[#This Row],[N°]:[heures annuelles
selon contrat(s)]])=0,"",REVEX!$E$9)</f>
        <v/>
      </c>
      <c r="AH266" s="73" t="str">
        <f>IF(SalCommune[[#This Row],[Allocations fonctions]]="","",IF(ISNA(VLOOKUP(SalCommune[[#This Row],[Allocations fonctions]],DROPDOWN[Dropdown82],1,FALSE))=TRUE,"&lt;-- Veuillez choisir l'allocation parmis la liste déroulante.",""))</f>
        <v/>
      </c>
    </row>
    <row r="267" spans="1:34" x14ac:dyDescent="0.25">
      <c r="A267" s="73" t="str">
        <f>IF(SalCommune[[#This Row],[Statut]]="","",IF(ISNA(VLOOKUP(SalCommune[[#This Row],[Statut]],'Grille communale'!$B$3:$B$5,1,FALSE))=TRUE,"Veuillez choisir le statut parmis la liste déroulante",""))</f>
        <v/>
      </c>
      <c r="B267" s="8"/>
      <c r="C267" s="8"/>
      <c r="D267" s="8"/>
      <c r="E267" s="21"/>
      <c r="F267" s="8"/>
      <c r="G267" s="8"/>
      <c r="H267" s="9"/>
      <c r="I267" s="9"/>
      <c r="J267" s="9"/>
      <c r="K267" s="10"/>
      <c r="L267" s="10"/>
      <c r="M267" s="9"/>
      <c r="N267" s="9"/>
      <c r="O267" s="9"/>
      <c r="P267"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67" s="9"/>
      <c r="R267" s="9"/>
      <c r="S267" s="38"/>
      <c r="T267" s="38"/>
      <c r="U267" s="38"/>
      <c r="V267" s="38"/>
      <c r="W267" s="38"/>
      <c r="X267" s="67" t="str">
        <f>IF(COUNTA(SalCommune[[#This Row],[N°]:[heures annuelles
selon contrat(s)]])=0,"",SalCommune[[#This Row],[Brut]]+SalCommune[[#This Row],[Autres Primes]]+SalCommune[[#This Row],[Part patronale]]-ABS(SalCommune[[#This Row],[Remboursement Mutualité]])-ABS(SalCommune[[#This Row],[Remboursement
Autres]]))</f>
        <v/>
      </c>
      <c r="Y267" s="38"/>
      <c r="Z267"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67" s="8"/>
      <c r="AB267" s="64"/>
      <c r="AC267"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67"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67" s="505"/>
      <c r="AF267" s="187"/>
      <c r="AG267" s="200" t="str">
        <f>IF(COUNTA(SalCommune[[#This Row],[N°]:[heures annuelles
selon contrat(s)]])=0,"",REVEX!$E$9)</f>
        <v/>
      </c>
      <c r="AH267" s="73" t="str">
        <f>IF(SalCommune[[#This Row],[Allocations fonctions]]="","",IF(ISNA(VLOOKUP(SalCommune[[#This Row],[Allocations fonctions]],DROPDOWN[Dropdown82],1,FALSE))=TRUE,"&lt;-- Veuillez choisir l'allocation parmis la liste déroulante.",""))</f>
        <v/>
      </c>
    </row>
    <row r="268" spans="1:34" x14ac:dyDescent="0.25">
      <c r="A268" s="73" t="str">
        <f>IF(SalCommune[[#This Row],[Statut]]="","",IF(ISNA(VLOOKUP(SalCommune[[#This Row],[Statut]],'Grille communale'!$B$3:$B$5,1,FALSE))=TRUE,"Veuillez choisir le statut parmis la liste déroulante",""))</f>
        <v/>
      </c>
      <c r="B268" s="8"/>
      <c r="C268" s="8"/>
      <c r="D268" s="8"/>
      <c r="E268" s="21"/>
      <c r="F268" s="8"/>
      <c r="G268" s="8"/>
      <c r="H268" s="9"/>
      <c r="I268" s="9"/>
      <c r="J268" s="9"/>
      <c r="K268" s="10"/>
      <c r="L268" s="10"/>
      <c r="M268" s="9"/>
      <c r="N268" s="9"/>
      <c r="O268" s="9"/>
      <c r="P268"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68" s="9"/>
      <c r="R268" s="9"/>
      <c r="S268" s="38"/>
      <c r="T268" s="38"/>
      <c r="U268" s="38"/>
      <c r="V268" s="38"/>
      <c r="W268" s="38"/>
      <c r="X268" s="67" t="str">
        <f>IF(COUNTA(SalCommune[[#This Row],[N°]:[heures annuelles
selon contrat(s)]])=0,"",SalCommune[[#This Row],[Brut]]+SalCommune[[#This Row],[Autres Primes]]+SalCommune[[#This Row],[Part patronale]]-ABS(SalCommune[[#This Row],[Remboursement Mutualité]])-ABS(SalCommune[[#This Row],[Remboursement
Autres]]))</f>
        <v/>
      </c>
      <c r="Y268" s="38"/>
      <c r="Z268"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68" s="8"/>
      <c r="AB268" s="64"/>
      <c r="AC268"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68"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68" s="505"/>
      <c r="AF268" s="187"/>
      <c r="AG268" s="200" t="str">
        <f>IF(COUNTA(SalCommune[[#This Row],[N°]:[heures annuelles
selon contrat(s)]])=0,"",REVEX!$E$9)</f>
        <v/>
      </c>
      <c r="AH268" s="73" t="str">
        <f>IF(SalCommune[[#This Row],[Allocations fonctions]]="","",IF(ISNA(VLOOKUP(SalCommune[[#This Row],[Allocations fonctions]],DROPDOWN[Dropdown82],1,FALSE))=TRUE,"&lt;-- Veuillez choisir l'allocation parmis la liste déroulante.",""))</f>
        <v/>
      </c>
    </row>
    <row r="269" spans="1:34" x14ac:dyDescent="0.25">
      <c r="A269" s="73" t="str">
        <f>IF(SalCommune[[#This Row],[Statut]]="","",IF(ISNA(VLOOKUP(SalCommune[[#This Row],[Statut]],'Grille communale'!$B$3:$B$5,1,FALSE))=TRUE,"Veuillez choisir le statut parmis la liste déroulante",""))</f>
        <v/>
      </c>
      <c r="B269" s="8"/>
      <c r="C269" s="8"/>
      <c r="D269" s="8"/>
      <c r="E269" s="21"/>
      <c r="F269" s="8"/>
      <c r="G269" s="8"/>
      <c r="H269" s="9"/>
      <c r="I269" s="9"/>
      <c r="J269" s="9"/>
      <c r="K269" s="10"/>
      <c r="L269" s="10"/>
      <c r="M269" s="9"/>
      <c r="N269" s="9"/>
      <c r="O269" s="9"/>
      <c r="P269"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69" s="9"/>
      <c r="R269" s="9"/>
      <c r="S269" s="38"/>
      <c r="T269" s="38"/>
      <c r="U269" s="38"/>
      <c r="V269" s="38"/>
      <c r="W269" s="38"/>
      <c r="X269" s="67" t="str">
        <f>IF(COUNTA(SalCommune[[#This Row],[N°]:[heures annuelles
selon contrat(s)]])=0,"",SalCommune[[#This Row],[Brut]]+SalCommune[[#This Row],[Autres Primes]]+SalCommune[[#This Row],[Part patronale]]-ABS(SalCommune[[#This Row],[Remboursement Mutualité]])-ABS(SalCommune[[#This Row],[Remboursement
Autres]]))</f>
        <v/>
      </c>
      <c r="Y269" s="38"/>
      <c r="Z269"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69" s="8"/>
      <c r="AB269" s="64"/>
      <c r="AC269"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69"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69" s="505"/>
      <c r="AF269" s="187"/>
      <c r="AG269" s="200" t="str">
        <f>IF(COUNTA(SalCommune[[#This Row],[N°]:[heures annuelles
selon contrat(s)]])=0,"",REVEX!$E$9)</f>
        <v/>
      </c>
      <c r="AH269" s="73" t="str">
        <f>IF(SalCommune[[#This Row],[Allocations fonctions]]="","",IF(ISNA(VLOOKUP(SalCommune[[#This Row],[Allocations fonctions]],DROPDOWN[Dropdown82],1,FALSE))=TRUE,"&lt;-- Veuillez choisir l'allocation parmis la liste déroulante.",""))</f>
        <v/>
      </c>
    </row>
    <row r="270" spans="1:34" x14ac:dyDescent="0.25">
      <c r="A270" s="73" t="str">
        <f>IF(SalCommune[[#This Row],[Statut]]="","",IF(ISNA(VLOOKUP(SalCommune[[#This Row],[Statut]],'Grille communale'!$B$3:$B$5,1,FALSE))=TRUE,"Veuillez choisir le statut parmis la liste déroulante",""))</f>
        <v/>
      </c>
      <c r="B270" s="8"/>
      <c r="C270" s="8"/>
      <c r="D270" s="8"/>
      <c r="E270" s="21"/>
      <c r="F270" s="8"/>
      <c r="G270" s="8"/>
      <c r="H270" s="9"/>
      <c r="I270" s="9"/>
      <c r="J270" s="9"/>
      <c r="K270" s="10"/>
      <c r="L270" s="10"/>
      <c r="M270" s="9"/>
      <c r="N270" s="9"/>
      <c r="O270" s="9"/>
      <c r="P270"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70" s="9"/>
      <c r="R270" s="9"/>
      <c r="S270" s="38"/>
      <c r="T270" s="38"/>
      <c r="U270" s="38"/>
      <c r="V270" s="38"/>
      <c r="W270" s="38"/>
      <c r="X270" s="67" t="str">
        <f>IF(COUNTA(SalCommune[[#This Row],[N°]:[heures annuelles
selon contrat(s)]])=0,"",SalCommune[[#This Row],[Brut]]+SalCommune[[#This Row],[Autres Primes]]+SalCommune[[#This Row],[Part patronale]]-ABS(SalCommune[[#This Row],[Remboursement Mutualité]])-ABS(SalCommune[[#This Row],[Remboursement
Autres]]))</f>
        <v/>
      </c>
      <c r="Y270" s="38"/>
      <c r="Z270"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70" s="8"/>
      <c r="AB270" s="64"/>
      <c r="AC270"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70"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70" s="505"/>
      <c r="AF270" s="187"/>
      <c r="AG270" s="200" t="str">
        <f>IF(COUNTA(SalCommune[[#This Row],[N°]:[heures annuelles
selon contrat(s)]])=0,"",REVEX!$E$9)</f>
        <v/>
      </c>
      <c r="AH270" s="73" t="str">
        <f>IF(SalCommune[[#This Row],[Allocations fonctions]]="","",IF(ISNA(VLOOKUP(SalCommune[[#This Row],[Allocations fonctions]],DROPDOWN[Dropdown82],1,FALSE))=TRUE,"&lt;-- Veuillez choisir l'allocation parmis la liste déroulante.",""))</f>
        <v/>
      </c>
    </row>
    <row r="271" spans="1:34" x14ac:dyDescent="0.25">
      <c r="A271" s="73" t="str">
        <f>IF(SalCommune[[#This Row],[Statut]]="","",IF(ISNA(VLOOKUP(SalCommune[[#This Row],[Statut]],'Grille communale'!$B$3:$B$5,1,FALSE))=TRUE,"Veuillez choisir le statut parmis la liste déroulante",""))</f>
        <v/>
      </c>
      <c r="B271" s="8"/>
      <c r="C271" s="8"/>
      <c r="D271" s="8"/>
      <c r="E271" s="21"/>
      <c r="F271" s="8"/>
      <c r="G271" s="8"/>
      <c r="H271" s="9"/>
      <c r="I271" s="9"/>
      <c r="J271" s="9"/>
      <c r="K271" s="10"/>
      <c r="L271" s="10"/>
      <c r="M271" s="9"/>
      <c r="N271" s="9"/>
      <c r="O271" s="9"/>
      <c r="P271"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71" s="9"/>
      <c r="R271" s="9"/>
      <c r="S271" s="38"/>
      <c r="T271" s="38"/>
      <c r="U271" s="38"/>
      <c r="V271" s="38"/>
      <c r="W271" s="38"/>
      <c r="X271" s="67" t="str">
        <f>IF(COUNTA(SalCommune[[#This Row],[N°]:[heures annuelles
selon contrat(s)]])=0,"",SalCommune[[#This Row],[Brut]]+SalCommune[[#This Row],[Autres Primes]]+SalCommune[[#This Row],[Part patronale]]-ABS(SalCommune[[#This Row],[Remboursement Mutualité]])-ABS(SalCommune[[#This Row],[Remboursement
Autres]]))</f>
        <v/>
      </c>
      <c r="Y271" s="38"/>
      <c r="Z271"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71" s="8"/>
      <c r="AB271" s="64"/>
      <c r="AC271"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71"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71" s="505"/>
      <c r="AF271" s="187"/>
      <c r="AG271" s="200" t="str">
        <f>IF(COUNTA(SalCommune[[#This Row],[N°]:[heures annuelles
selon contrat(s)]])=0,"",REVEX!$E$9)</f>
        <v/>
      </c>
      <c r="AH271" s="73" t="str">
        <f>IF(SalCommune[[#This Row],[Allocations fonctions]]="","",IF(ISNA(VLOOKUP(SalCommune[[#This Row],[Allocations fonctions]],DROPDOWN[Dropdown82],1,FALSE))=TRUE,"&lt;-- Veuillez choisir l'allocation parmis la liste déroulante.",""))</f>
        <v/>
      </c>
    </row>
    <row r="272" spans="1:34" x14ac:dyDescent="0.25">
      <c r="A272" s="73" t="str">
        <f>IF(SalCommune[[#This Row],[Statut]]="","",IF(ISNA(VLOOKUP(SalCommune[[#This Row],[Statut]],'Grille communale'!$B$3:$B$5,1,FALSE))=TRUE,"Veuillez choisir le statut parmis la liste déroulante",""))</f>
        <v/>
      </c>
      <c r="B272" s="8"/>
      <c r="C272" s="8"/>
      <c r="D272" s="8"/>
      <c r="E272" s="21"/>
      <c r="F272" s="8"/>
      <c r="G272" s="8"/>
      <c r="H272" s="9"/>
      <c r="I272" s="9"/>
      <c r="J272" s="9"/>
      <c r="K272" s="10"/>
      <c r="L272" s="10"/>
      <c r="M272" s="9"/>
      <c r="N272" s="9"/>
      <c r="O272" s="9"/>
      <c r="P272"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72" s="9"/>
      <c r="R272" s="9"/>
      <c r="S272" s="38"/>
      <c r="T272" s="38"/>
      <c r="U272" s="38"/>
      <c r="V272" s="38"/>
      <c r="W272" s="38"/>
      <c r="X272" s="67" t="str">
        <f>IF(COUNTA(SalCommune[[#This Row],[N°]:[heures annuelles
selon contrat(s)]])=0,"",SalCommune[[#This Row],[Brut]]+SalCommune[[#This Row],[Autres Primes]]+SalCommune[[#This Row],[Part patronale]]-ABS(SalCommune[[#This Row],[Remboursement Mutualité]])-ABS(SalCommune[[#This Row],[Remboursement
Autres]]))</f>
        <v/>
      </c>
      <c r="Y272" s="38"/>
      <c r="Z272"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72" s="8"/>
      <c r="AB272" s="64"/>
      <c r="AC272"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72"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72" s="505"/>
      <c r="AF272" s="187"/>
      <c r="AG272" s="200" t="str">
        <f>IF(COUNTA(SalCommune[[#This Row],[N°]:[heures annuelles
selon contrat(s)]])=0,"",REVEX!$E$9)</f>
        <v/>
      </c>
      <c r="AH272" s="73" t="str">
        <f>IF(SalCommune[[#This Row],[Allocations fonctions]]="","",IF(ISNA(VLOOKUP(SalCommune[[#This Row],[Allocations fonctions]],DROPDOWN[Dropdown82],1,FALSE))=TRUE,"&lt;-- Veuillez choisir l'allocation parmis la liste déroulante.",""))</f>
        <v/>
      </c>
    </row>
    <row r="273" spans="1:34" x14ac:dyDescent="0.25">
      <c r="A273" s="73" t="str">
        <f>IF(SalCommune[[#This Row],[Statut]]="","",IF(ISNA(VLOOKUP(SalCommune[[#This Row],[Statut]],'Grille communale'!$B$3:$B$5,1,FALSE))=TRUE,"Veuillez choisir le statut parmis la liste déroulante",""))</f>
        <v/>
      </c>
      <c r="B273" s="8"/>
      <c r="C273" s="8"/>
      <c r="D273" s="8"/>
      <c r="E273" s="21"/>
      <c r="F273" s="8"/>
      <c r="G273" s="8"/>
      <c r="H273" s="9"/>
      <c r="I273" s="9"/>
      <c r="J273" s="9"/>
      <c r="K273" s="10"/>
      <c r="L273" s="10"/>
      <c r="M273" s="9"/>
      <c r="N273" s="9"/>
      <c r="O273" s="9"/>
      <c r="P273"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73" s="9"/>
      <c r="R273" s="9"/>
      <c r="S273" s="38"/>
      <c r="T273" s="38"/>
      <c r="U273" s="38"/>
      <c r="V273" s="38"/>
      <c r="W273" s="38"/>
      <c r="X273" s="67" t="str">
        <f>IF(COUNTA(SalCommune[[#This Row],[N°]:[heures annuelles
selon contrat(s)]])=0,"",SalCommune[[#This Row],[Brut]]+SalCommune[[#This Row],[Autres Primes]]+SalCommune[[#This Row],[Part patronale]]-ABS(SalCommune[[#This Row],[Remboursement Mutualité]])-ABS(SalCommune[[#This Row],[Remboursement
Autres]]))</f>
        <v/>
      </c>
      <c r="Y273" s="38"/>
      <c r="Z273"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73" s="8"/>
      <c r="AB273" s="64"/>
      <c r="AC273"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73"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73" s="505"/>
      <c r="AF273" s="187"/>
      <c r="AG273" s="200" t="str">
        <f>IF(COUNTA(SalCommune[[#This Row],[N°]:[heures annuelles
selon contrat(s)]])=0,"",REVEX!$E$9)</f>
        <v/>
      </c>
      <c r="AH273" s="73" t="str">
        <f>IF(SalCommune[[#This Row],[Allocations fonctions]]="","",IF(ISNA(VLOOKUP(SalCommune[[#This Row],[Allocations fonctions]],DROPDOWN[Dropdown82],1,FALSE))=TRUE,"&lt;-- Veuillez choisir l'allocation parmis la liste déroulante.",""))</f>
        <v/>
      </c>
    </row>
    <row r="274" spans="1:34" x14ac:dyDescent="0.25">
      <c r="A274" s="73" t="str">
        <f>IF(SalCommune[[#This Row],[Statut]]="","",IF(ISNA(VLOOKUP(SalCommune[[#This Row],[Statut]],'Grille communale'!$B$3:$B$5,1,FALSE))=TRUE,"Veuillez choisir le statut parmis la liste déroulante",""))</f>
        <v/>
      </c>
      <c r="B274" s="8"/>
      <c r="C274" s="8"/>
      <c r="D274" s="8"/>
      <c r="E274" s="21"/>
      <c r="F274" s="8"/>
      <c r="G274" s="8"/>
      <c r="H274" s="9"/>
      <c r="I274" s="9"/>
      <c r="J274" s="9"/>
      <c r="K274" s="10"/>
      <c r="L274" s="10"/>
      <c r="M274" s="9"/>
      <c r="N274" s="9"/>
      <c r="O274" s="9"/>
      <c r="P274"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74" s="9"/>
      <c r="R274" s="9"/>
      <c r="S274" s="38"/>
      <c r="T274" s="38"/>
      <c r="U274" s="38"/>
      <c r="V274" s="38"/>
      <c r="W274" s="38"/>
      <c r="X274" s="67" t="str">
        <f>IF(COUNTA(SalCommune[[#This Row],[N°]:[heures annuelles
selon contrat(s)]])=0,"",SalCommune[[#This Row],[Brut]]+SalCommune[[#This Row],[Autres Primes]]+SalCommune[[#This Row],[Part patronale]]-ABS(SalCommune[[#This Row],[Remboursement Mutualité]])-ABS(SalCommune[[#This Row],[Remboursement
Autres]]))</f>
        <v/>
      </c>
      <c r="Y274" s="38"/>
      <c r="Z274"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74" s="8"/>
      <c r="AB274" s="64"/>
      <c r="AC274"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74"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74" s="505"/>
      <c r="AF274" s="187"/>
      <c r="AG274" s="200" t="str">
        <f>IF(COUNTA(SalCommune[[#This Row],[N°]:[heures annuelles
selon contrat(s)]])=0,"",REVEX!$E$9)</f>
        <v/>
      </c>
      <c r="AH274" s="73" t="str">
        <f>IF(SalCommune[[#This Row],[Allocations fonctions]]="","",IF(ISNA(VLOOKUP(SalCommune[[#This Row],[Allocations fonctions]],DROPDOWN[Dropdown82],1,FALSE))=TRUE,"&lt;-- Veuillez choisir l'allocation parmis la liste déroulante.",""))</f>
        <v/>
      </c>
    </row>
    <row r="275" spans="1:34" x14ac:dyDescent="0.25">
      <c r="A275" s="73" t="str">
        <f>IF(SalCommune[[#This Row],[Statut]]="","",IF(ISNA(VLOOKUP(SalCommune[[#This Row],[Statut]],'Grille communale'!$B$3:$B$5,1,FALSE))=TRUE,"Veuillez choisir le statut parmis la liste déroulante",""))</f>
        <v/>
      </c>
      <c r="B275" s="8"/>
      <c r="C275" s="8"/>
      <c r="D275" s="8"/>
      <c r="E275" s="21"/>
      <c r="F275" s="8"/>
      <c r="G275" s="8"/>
      <c r="H275" s="9"/>
      <c r="I275" s="9"/>
      <c r="J275" s="9"/>
      <c r="K275" s="10"/>
      <c r="L275" s="10"/>
      <c r="M275" s="9"/>
      <c r="N275" s="9"/>
      <c r="O275" s="9"/>
      <c r="P275"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75" s="9"/>
      <c r="R275" s="9"/>
      <c r="S275" s="38"/>
      <c r="T275" s="38"/>
      <c r="U275" s="38"/>
      <c r="V275" s="38"/>
      <c r="W275" s="38"/>
      <c r="X275" s="67" t="str">
        <f>IF(COUNTA(SalCommune[[#This Row],[N°]:[heures annuelles
selon contrat(s)]])=0,"",SalCommune[[#This Row],[Brut]]+SalCommune[[#This Row],[Autres Primes]]+SalCommune[[#This Row],[Part patronale]]-ABS(SalCommune[[#This Row],[Remboursement Mutualité]])-ABS(SalCommune[[#This Row],[Remboursement
Autres]]))</f>
        <v/>
      </c>
      <c r="Y275" s="38"/>
      <c r="Z275"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75" s="8"/>
      <c r="AB275" s="64"/>
      <c r="AC275"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75"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75" s="505"/>
      <c r="AF275" s="187"/>
      <c r="AG275" s="200" t="str">
        <f>IF(COUNTA(SalCommune[[#This Row],[N°]:[heures annuelles
selon contrat(s)]])=0,"",REVEX!$E$9)</f>
        <v/>
      </c>
      <c r="AH275" s="73" t="str">
        <f>IF(SalCommune[[#This Row],[Allocations fonctions]]="","",IF(ISNA(VLOOKUP(SalCommune[[#This Row],[Allocations fonctions]],DROPDOWN[Dropdown82],1,FALSE))=TRUE,"&lt;-- Veuillez choisir l'allocation parmis la liste déroulante.",""))</f>
        <v/>
      </c>
    </row>
    <row r="276" spans="1:34" x14ac:dyDescent="0.25">
      <c r="A276" s="73" t="str">
        <f>IF(SalCommune[[#This Row],[Statut]]="","",IF(ISNA(VLOOKUP(SalCommune[[#This Row],[Statut]],'Grille communale'!$B$3:$B$5,1,FALSE))=TRUE,"Veuillez choisir le statut parmis la liste déroulante",""))</f>
        <v/>
      </c>
      <c r="B276" s="8"/>
      <c r="C276" s="8"/>
      <c r="D276" s="8"/>
      <c r="E276" s="21"/>
      <c r="F276" s="8"/>
      <c r="G276" s="8"/>
      <c r="H276" s="9"/>
      <c r="I276" s="9"/>
      <c r="J276" s="9"/>
      <c r="K276" s="10"/>
      <c r="L276" s="10"/>
      <c r="M276" s="9"/>
      <c r="N276" s="9"/>
      <c r="O276" s="9"/>
      <c r="P276"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76" s="9"/>
      <c r="R276" s="9"/>
      <c r="S276" s="38"/>
      <c r="T276" s="38"/>
      <c r="U276" s="38"/>
      <c r="V276" s="38"/>
      <c r="W276" s="38"/>
      <c r="X276" s="67" t="str">
        <f>IF(COUNTA(SalCommune[[#This Row],[N°]:[heures annuelles
selon contrat(s)]])=0,"",SalCommune[[#This Row],[Brut]]+SalCommune[[#This Row],[Autres Primes]]+SalCommune[[#This Row],[Part patronale]]-ABS(SalCommune[[#This Row],[Remboursement Mutualité]])-ABS(SalCommune[[#This Row],[Remboursement
Autres]]))</f>
        <v/>
      </c>
      <c r="Y276" s="38"/>
      <c r="Z276"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76" s="8"/>
      <c r="AB276" s="64"/>
      <c r="AC276"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76"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76" s="505"/>
      <c r="AF276" s="187"/>
      <c r="AG276" s="200" t="str">
        <f>IF(COUNTA(SalCommune[[#This Row],[N°]:[heures annuelles
selon contrat(s)]])=0,"",REVEX!$E$9)</f>
        <v/>
      </c>
      <c r="AH276" s="73" t="str">
        <f>IF(SalCommune[[#This Row],[Allocations fonctions]]="","",IF(ISNA(VLOOKUP(SalCommune[[#This Row],[Allocations fonctions]],DROPDOWN[Dropdown82],1,FALSE))=TRUE,"&lt;-- Veuillez choisir l'allocation parmis la liste déroulante.",""))</f>
        <v/>
      </c>
    </row>
    <row r="277" spans="1:34" x14ac:dyDescent="0.25">
      <c r="A277" s="73" t="str">
        <f>IF(SalCommune[[#This Row],[Statut]]="","",IF(ISNA(VLOOKUP(SalCommune[[#This Row],[Statut]],'Grille communale'!$B$3:$B$5,1,FALSE))=TRUE,"Veuillez choisir le statut parmis la liste déroulante",""))</f>
        <v/>
      </c>
      <c r="B277" s="8"/>
      <c r="C277" s="8"/>
      <c r="D277" s="8"/>
      <c r="E277" s="21"/>
      <c r="F277" s="8"/>
      <c r="G277" s="8"/>
      <c r="H277" s="9"/>
      <c r="I277" s="9"/>
      <c r="J277" s="9"/>
      <c r="K277" s="10"/>
      <c r="L277" s="10"/>
      <c r="M277" s="9"/>
      <c r="N277" s="9"/>
      <c r="O277" s="9"/>
      <c r="P277"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77" s="9"/>
      <c r="R277" s="9"/>
      <c r="S277" s="38"/>
      <c r="T277" s="38"/>
      <c r="U277" s="38"/>
      <c r="V277" s="38"/>
      <c r="W277" s="38"/>
      <c r="X277" s="67" t="str">
        <f>IF(COUNTA(SalCommune[[#This Row],[N°]:[heures annuelles
selon contrat(s)]])=0,"",SalCommune[[#This Row],[Brut]]+SalCommune[[#This Row],[Autres Primes]]+SalCommune[[#This Row],[Part patronale]]-ABS(SalCommune[[#This Row],[Remboursement Mutualité]])-ABS(SalCommune[[#This Row],[Remboursement
Autres]]))</f>
        <v/>
      </c>
      <c r="Y277" s="38"/>
      <c r="Z277"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77" s="8"/>
      <c r="AB277" s="64"/>
      <c r="AC277"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77"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77" s="505"/>
      <c r="AF277" s="187"/>
      <c r="AG277" s="200" t="str">
        <f>IF(COUNTA(SalCommune[[#This Row],[N°]:[heures annuelles
selon contrat(s)]])=0,"",REVEX!$E$9)</f>
        <v/>
      </c>
      <c r="AH277" s="73" t="str">
        <f>IF(SalCommune[[#This Row],[Allocations fonctions]]="","",IF(ISNA(VLOOKUP(SalCommune[[#This Row],[Allocations fonctions]],DROPDOWN[Dropdown82],1,FALSE))=TRUE,"&lt;-- Veuillez choisir l'allocation parmis la liste déroulante.",""))</f>
        <v/>
      </c>
    </row>
    <row r="278" spans="1:34" x14ac:dyDescent="0.25">
      <c r="A278" s="73" t="str">
        <f>IF(SalCommune[[#This Row],[Statut]]="","",IF(ISNA(VLOOKUP(SalCommune[[#This Row],[Statut]],'Grille communale'!$B$3:$B$5,1,FALSE))=TRUE,"Veuillez choisir le statut parmis la liste déroulante",""))</f>
        <v/>
      </c>
      <c r="B278" s="8"/>
      <c r="C278" s="8"/>
      <c r="D278" s="8"/>
      <c r="E278" s="21"/>
      <c r="F278" s="8"/>
      <c r="G278" s="8"/>
      <c r="H278" s="9"/>
      <c r="I278" s="9"/>
      <c r="J278" s="9"/>
      <c r="K278" s="10"/>
      <c r="L278" s="10"/>
      <c r="M278" s="9"/>
      <c r="N278" s="9"/>
      <c r="O278" s="9"/>
      <c r="P278"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78" s="9"/>
      <c r="R278" s="9"/>
      <c r="S278" s="38"/>
      <c r="T278" s="38"/>
      <c r="U278" s="38"/>
      <c r="V278" s="38"/>
      <c r="W278" s="38"/>
      <c r="X278" s="67" t="str">
        <f>IF(COUNTA(SalCommune[[#This Row],[N°]:[heures annuelles
selon contrat(s)]])=0,"",SalCommune[[#This Row],[Brut]]+SalCommune[[#This Row],[Autres Primes]]+SalCommune[[#This Row],[Part patronale]]-ABS(SalCommune[[#This Row],[Remboursement Mutualité]])-ABS(SalCommune[[#This Row],[Remboursement
Autres]]))</f>
        <v/>
      </c>
      <c r="Y278" s="38"/>
      <c r="Z278"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78" s="8"/>
      <c r="AB278" s="64"/>
      <c r="AC278"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78"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78" s="505"/>
      <c r="AF278" s="187"/>
      <c r="AG278" s="200" t="str">
        <f>IF(COUNTA(SalCommune[[#This Row],[N°]:[heures annuelles
selon contrat(s)]])=0,"",REVEX!$E$9)</f>
        <v/>
      </c>
      <c r="AH278" s="73" t="str">
        <f>IF(SalCommune[[#This Row],[Allocations fonctions]]="","",IF(ISNA(VLOOKUP(SalCommune[[#This Row],[Allocations fonctions]],DROPDOWN[Dropdown82],1,FALSE))=TRUE,"&lt;-- Veuillez choisir l'allocation parmis la liste déroulante.",""))</f>
        <v/>
      </c>
    </row>
    <row r="279" spans="1:34" x14ac:dyDescent="0.25">
      <c r="A279" s="73" t="str">
        <f>IF(SalCommune[[#This Row],[Statut]]="","",IF(ISNA(VLOOKUP(SalCommune[[#This Row],[Statut]],'Grille communale'!$B$3:$B$5,1,FALSE))=TRUE,"Veuillez choisir le statut parmis la liste déroulante",""))</f>
        <v/>
      </c>
      <c r="B279" s="8"/>
      <c r="C279" s="8"/>
      <c r="D279" s="8"/>
      <c r="E279" s="21"/>
      <c r="F279" s="8"/>
      <c r="G279" s="8"/>
      <c r="H279" s="9"/>
      <c r="I279" s="9"/>
      <c r="J279" s="9"/>
      <c r="K279" s="10"/>
      <c r="L279" s="10"/>
      <c r="M279" s="9"/>
      <c r="N279" s="9"/>
      <c r="O279" s="9"/>
      <c r="P279"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79" s="9"/>
      <c r="R279" s="9"/>
      <c r="S279" s="38"/>
      <c r="T279" s="38"/>
      <c r="U279" s="38"/>
      <c r="V279" s="38"/>
      <c r="W279" s="38"/>
      <c r="X279" s="67" t="str">
        <f>IF(COUNTA(SalCommune[[#This Row],[N°]:[heures annuelles
selon contrat(s)]])=0,"",SalCommune[[#This Row],[Brut]]+SalCommune[[#This Row],[Autres Primes]]+SalCommune[[#This Row],[Part patronale]]-ABS(SalCommune[[#This Row],[Remboursement Mutualité]])-ABS(SalCommune[[#This Row],[Remboursement
Autres]]))</f>
        <v/>
      </c>
      <c r="Y279" s="38"/>
      <c r="Z279"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79" s="8"/>
      <c r="AB279" s="64"/>
      <c r="AC279"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79"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79" s="505"/>
      <c r="AF279" s="187"/>
      <c r="AG279" s="200" t="str">
        <f>IF(COUNTA(SalCommune[[#This Row],[N°]:[heures annuelles
selon contrat(s)]])=0,"",REVEX!$E$9)</f>
        <v/>
      </c>
      <c r="AH279" s="73" t="str">
        <f>IF(SalCommune[[#This Row],[Allocations fonctions]]="","",IF(ISNA(VLOOKUP(SalCommune[[#This Row],[Allocations fonctions]],DROPDOWN[Dropdown82],1,FALSE))=TRUE,"&lt;-- Veuillez choisir l'allocation parmis la liste déroulante.",""))</f>
        <v/>
      </c>
    </row>
    <row r="280" spans="1:34" x14ac:dyDescent="0.25">
      <c r="A280" s="73" t="str">
        <f>IF(SalCommune[[#This Row],[Statut]]="","",IF(ISNA(VLOOKUP(SalCommune[[#This Row],[Statut]],'Grille communale'!$B$3:$B$5,1,FALSE))=TRUE,"Veuillez choisir le statut parmis la liste déroulante",""))</f>
        <v/>
      </c>
      <c r="B280" s="8"/>
      <c r="C280" s="8"/>
      <c r="D280" s="8"/>
      <c r="E280" s="21"/>
      <c r="F280" s="8"/>
      <c r="G280" s="8"/>
      <c r="H280" s="9"/>
      <c r="I280" s="9"/>
      <c r="J280" s="9"/>
      <c r="K280" s="10"/>
      <c r="L280" s="10"/>
      <c r="M280" s="9"/>
      <c r="N280" s="9"/>
      <c r="O280" s="9"/>
      <c r="P280"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80" s="9"/>
      <c r="R280" s="9"/>
      <c r="S280" s="38"/>
      <c r="T280" s="38"/>
      <c r="U280" s="38"/>
      <c r="V280" s="38"/>
      <c r="W280" s="38"/>
      <c r="X280" s="67" t="str">
        <f>IF(COUNTA(SalCommune[[#This Row],[N°]:[heures annuelles
selon contrat(s)]])=0,"",SalCommune[[#This Row],[Brut]]+SalCommune[[#This Row],[Autres Primes]]+SalCommune[[#This Row],[Part patronale]]-ABS(SalCommune[[#This Row],[Remboursement Mutualité]])-ABS(SalCommune[[#This Row],[Remboursement
Autres]]))</f>
        <v/>
      </c>
      <c r="Y280" s="38"/>
      <c r="Z280"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80" s="8"/>
      <c r="AB280" s="64"/>
      <c r="AC280"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80"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80" s="505"/>
      <c r="AF280" s="187"/>
      <c r="AG280" s="200" t="str">
        <f>IF(COUNTA(SalCommune[[#This Row],[N°]:[heures annuelles
selon contrat(s)]])=0,"",REVEX!$E$9)</f>
        <v/>
      </c>
      <c r="AH280" s="73" t="str">
        <f>IF(SalCommune[[#This Row],[Allocations fonctions]]="","",IF(ISNA(VLOOKUP(SalCommune[[#This Row],[Allocations fonctions]],DROPDOWN[Dropdown82],1,FALSE))=TRUE,"&lt;-- Veuillez choisir l'allocation parmis la liste déroulante.",""))</f>
        <v/>
      </c>
    </row>
    <row r="281" spans="1:34" x14ac:dyDescent="0.25">
      <c r="A281" s="73" t="str">
        <f>IF(SalCommune[[#This Row],[Statut]]="","",IF(ISNA(VLOOKUP(SalCommune[[#This Row],[Statut]],'Grille communale'!$B$3:$B$5,1,FALSE))=TRUE,"Veuillez choisir le statut parmis la liste déroulante",""))</f>
        <v/>
      </c>
      <c r="B281" s="8"/>
      <c r="C281" s="8"/>
      <c r="D281" s="8"/>
      <c r="E281" s="21"/>
      <c r="F281" s="8"/>
      <c r="G281" s="8"/>
      <c r="H281" s="9"/>
      <c r="I281" s="9"/>
      <c r="J281" s="9"/>
      <c r="K281" s="10"/>
      <c r="L281" s="10"/>
      <c r="M281" s="9"/>
      <c r="N281" s="9"/>
      <c r="O281" s="9"/>
      <c r="P281"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81" s="9"/>
      <c r="R281" s="9"/>
      <c r="S281" s="38"/>
      <c r="T281" s="38"/>
      <c r="U281" s="38"/>
      <c r="V281" s="38"/>
      <c r="W281" s="38"/>
      <c r="X281" s="67" t="str">
        <f>IF(COUNTA(SalCommune[[#This Row],[N°]:[heures annuelles
selon contrat(s)]])=0,"",SalCommune[[#This Row],[Brut]]+SalCommune[[#This Row],[Autres Primes]]+SalCommune[[#This Row],[Part patronale]]-ABS(SalCommune[[#This Row],[Remboursement Mutualité]])-ABS(SalCommune[[#This Row],[Remboursement
Autres]]))</f>
        <v/>
      </c>
      <c r="Y281" s="38"/>
      <c r="Z281"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81" s="8"/>
      <c r="AB281" s="64"/>
      <c r="AC281"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81"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81" s="505"/>
      <c r="AF281" s="187"/>
      <c r="AG281" s="200" t="str">
        <f>IF(COUNTA(SalCommune[[#This Row],[N°]:[heures annuelles
selon contrat(s)]])=0,"",REVEX!$E$9)</f>
        <v/>
      </c>
      <c r="AH281" s="73" t="str">
        <f>IF(SalCommune[[#This Row],[Allocations fonctions]]="","",IF(ISNA(VLOOKUP(SalCommune[[#This Row],[Allocations fonctions]],DROPDOWN[Dropdown82],1,FALSE))=TRUE,"&lt;-- Veuillez choisir l'allocation parmis la liste déroulante.",""))</f>
        <v/>
      </c>
    </row>
    <row r="282" spans="1:34" x14ac:dyDescent="0.25">
      <c r="A282" s="73" t="str">
        <f>IF(SalCommune[[#This Row],[Statut]]="","",IF(ISNA(VLOOKUP(SalCommune[[#This Row],[Statut]],'Grille communale'!$B$3:$B$5,1,FALSE))=TRUE,"Veuillez choisir le statut parmis la liste déroulante",""))</f>
        <v/>
      </c>
      <c r="B282" s="8"/>
      <c r="C282" s="8"/>
      <c r="D282" s="8"/>
      <c r="E282" s="21"/>
      <c r="F282" s="8"/>
      <c r="G282" s="8"/>
      <c r="H282" s="9"/>
      <c r="I282" s="9"/>
      <c r="J282" s="9"/>
      <c r="K282" s="10"/>
      <c r="L282" s="10"/>
      <c r="M282" s="9"/>
      <c r="N282" s="9"/>
      <c r="O282" s="9"/>
      <c r="P282"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82" s="9"/>
      <c r="R282" s="9"/>
      <c r="S282" s="38"/>
      <c r="T282" s="38"/>
      <c r="U282" s="38"/>
      <c r="V282" s="38"/>
      <c r="W282" s="38"/>
      <c r="X282" s="67" t="str">
        <f>IF(COUNTA(SalCommune[[#This Row],[N°]:[heures annuelles
selon contrat(s)]])=0,"",SalCommune[[#This Row],[Brut]]+SalCommune[[#This Row],[Autres Primes]]+SalCommune[[#This Row],[Part patronale]]-ABS(SalCommune[[#This Row],[Remboursement Mutualité]])-ABS(SalCommune[[#This Row],[Remboursement
Autres]]))</f>
        <v/>
      </c>
      <c r="Y282" s="38"/>
      <c r="Z282"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82" s="8"/>
      <c r="AB282" s="64"/>
      <c r="AC282"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82"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82" s="505"/>
      <c r="AF282" s="187"/>
      <c r="AG282" s="200" t="str">
        <f>IF(COUNTA(SalCommune[[#This Row],[N°]:[heures annuelles
selon contrat(s)]])=0,"",REVEX!$E$9)</f>
        <v/>
      </c>
      <c r="AH282" s="73" t="str">
        <f>IF(SalCommune[[#This Row],[Allocations fonctions]]="","",IF(ISNA(VLOOKUP(SalCommune[[#This Row],[Allocations fonctions]],DROPDOWN[Dropdown82],1,FALSE))=TRUE,"&lt;-- Veuillez choisir l'allocation parmis la liste déroulante.",""))</f>
        <v/>
      </c>
    </row>
    <row r="283" spans="1:34" x14ac:dyDescent="0.25">
      <c r="A283" s="73" t="str">
        <f>IF(SalCommune[[#This Row],[Statut]]="","",IF(ISNA(VLOOKUP(SalCommune[[#This Row],[Statut]],'Grille communale'!$B$3:$B$5,1,FALSE))=TRUE,"Veuillez choisir le statut parmis la liste déroulante",""))</f>
        <v/>
      </c>
      <c r="B283" s="8"/>
      <c r="C283" s="8"/>
      <c r="D283" s="8"/>
      <c r="E283" s="21"/>
      <c r="F283" s="8"/>
      <c r="G283" s="8"/>
      <c r="H283" s="9"/>
      <c r="I283" s="9"/>
      <c r="J283" s="9"/>
      <c r="K283" s="10"/>
      <c r="L283" s="10"/>
      <c r="M283" s="9"/>
      <c r="N283" s="9"/>
      <c r="O283" s="9"/>
      <c r="P283"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83" s="9"/>
      <c r="R283" s="9"/>
      <c r="S283" s="38"/>
      <c r="T283" s="38"/>
      <c r="U283" s="38"/>
      <c r="V283" s="38"/>
      <c r="W283" s="38"/>
      <c r="X283" s="67" t="str">
        <f>IF(COUNTA(SalCommune[[#This Row],[N°]:[heures annuelles
selon contrat(s)]])=0,"",SalCommune[[#This Row],[Brut]]+SalCommune[[#This Row],[Autres Primes]]+SalCommune[[#This Row],[Part patronale]]-ABS(SalCommune[[#This Row],[Remboursement Mutualité]])-ABS(SalCommune[[#This Row],[Remboursement
Autres]]))</f>
        <v/>
      </c>
      <c r="Y283" s="38"/>
      <c r="Z283"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83" s="8"/>
      <c r="AB283" s="64"/>
      <c r="AC283"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83"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83" s="505"/>
      <c r="AF283" s="187"/>
      <c r="AG283" s="200" t="str">
        <f>IF(COUNTA(SalCommune[[#This Row],[N°]:[heures annuelles
selon contrat(s)]])=0,"",REVEX!$E$9)</f>
        <v/>
      </c>
      <c r="AH283" s="73" t="str">
        <f>IF(SalCommune[[#This Row],[Allocations fonctions]]="","",IF(ISNA(VLOOKUP(SalCommune[[#This Row],[Allocations fonctions]],DROPDOWN[Dropdown82],1,FALSE))=TRUE,"&lt;-- Veuillez choisir l'allocation parmis la liste déroulante.",""))</f>
        <v/>
      </c>
    </row>
    <row r="284" spans="1:34" x14ac:dyDescent="0.25">
      <c r="A284" s="73" t="str">
        <f>IF(SalCommune[[#This Row],[Statut]]="","",IF(ISNA(VLOOKUP(SalCommune[[#This Row],[Statut]],'Grille communale'!$B$3:$B$5,1,FALSE))=TRUE,"Veuillez choisir le statut parmis la liste déroulante",""))</f>
        <v/>
      </c>
      <c r="B284" s="8"/>
      <c r="C284" s="8"/>
      <c r="D284" s="8"/>
      <c r="E284" s="21"/>
      <c r="F284" s="8"/>
      <c r="G284" s="8"/>
      <c r="H284" s="9"/>
      <c r="I284" s="9"/>
      <c r="J284" s="9"/>
      <c r="K284" s="10"/>
      <c r="L284" s="10"/>
      <c r="M284" s="9"/>
      <c r="N284" s="9"/>
      <c r="O284" s="9"/>
      <c r="P284"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84" s="9"/>
      <c r="R284" s="9"/>
      <c r="S284" s="38"/>
      <c r="T284" s="38"/>
      <c r="U284" s="38"/>
      <c r="V284" s="38"/>
      <c r="W284" s="38"/>
      <c r="X284" s="67" t="str">
        <f>IF(COUNTA(SalCommune[[#This Row],[N°]:[heures annuelles
selon contrat(s)]])=0,"",SalCommune[[#This Row],[Brut]]+SalCommune[[#This Row],[Autres Primes]]+SalCommune[[#This Row],[Part patronale]]-ABS(SalCommune[[#This Row],[Remboursement Mutualité]])-ABS(SalCommune[[#This Row],[Remboursement
Autres]]))</f>
        <v/>
      </c>
      <c r="Y284" s="38"/>
      <c r="Z284"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84" s="8"/>
      <c r="AB284" s="64"/>
      <c r="AC284"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84"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84" s="505"/>
      <c r="AF284" s="187"/>
      <c r="AG284" s="200" t="str">
        <f>IF(COUNTA(SalCommune[[#This Row],[N°]:[heures annuelles
selon contrat(s)]])=0,"",REVEX!$E$9)</f>
        <v/>
      </c>
      <c r="AH284" s="73" t="str">
        <f>IF(SalCommune[[#This Row],[Allocations fonctions]]="","",IF(ISNA(VLOOKUP(SalCommune[[#This Row],[Allocations fonctions]],DROPDOWN[Dropdown82],1,FALSE))=TRUE,"&lt;-- Veuillez choisir l'allocation parmis la liste déroulante.",""))</f>
        <v/>
      </c>
    </row>
    <row r="285" spans="1:34" x14ac:dyDescent="0.25">
      <c r="A285" s="73" t="str">
        <f>IF(SalCommune[[#This Row],[Statut]]="","",IF(ISNA(VLOOKUP(SalCommune[[#This Row],[Statut]],'Grille communale'!$B$3:$B$5,1,FALSE))=TRUE,"Veuillez choisir le statut parmis la liste déroulante",""))</f>
        <v/>
      </c>
      <c r="B285" s="8"/>
      <c r="C285" s="8"/>
      <c r="D285" s="8"/>
      <c r="E285" s="21"/>
      <c r="F285" s="8"/>
      <c r="G285" s="8"/>
      <c r="H285" s="9"/>
      <c r="I285" s="9"/>
      <c r="J285" s="9"/>
      <c r="K285" s="10"/>
      <c r="L285" s="10"/>
      <c r="M285" s="9"/>
      <c r="N285" s="9"/>
      <c r="O285" s="9"/>
      <c r="P285"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85" s="9"/>
      <c r="R285" s="9"/>
      <c r="S285" s="38"/>
      <c r="T285" s="38"/>
      <c r="U285" s="38"/>
      <c r="V285" s="38"/>
      <c r="W285" s="38"/>
      <c r="X285" s="67" t="str">
        <f>IF(COUNTA(SalCommune[[#This Row],[N°]:[heures annuelles
selon contrat(s)]])=0,"",SalCommune[[#This Row],[Brut]]+SalCommune[[#This Row],[Autres Primes]]+SalCommune[[#This Row],[Part patronale]]-ABS(SalCommune[[#This Row],[Remboursement Mutualité]])-ABS(SalCommune[[#This Row],[Remboursement
Autres]]))</f>
        <v/>
      </c>
      <c r="Y285" s="38"/>
      <c r="Z285"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85" s="8"/>
      <c r="AB285" s="64"/>
      <c r="AC285"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85"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85" s="505"/>
      <c r="AF285" s="187"/>
      <c r="AG285" s="200" t="str">
        <f>IF(COUNTA(SalCommune[[#This Row],[N°]:[heures annuelles
selon contrat(s)]])=0,"",REVEX!$E$9)</f>
        <v/>
      </c>
      <c r="AH285" s="73" t="str">
        <f>IF(SalCommune[[#This Row],[Allocations fonctions]]="","",IF(ISNA(VLOOKUP(SalCommune[[#This Row],[Allocations fonctions]],DROPDOWN[Dropdown82],1,FALSE))=TRUE,"&lt;-- Veuillez choisir l'allocation parmis la liste déroulante.",""))</f>
        <v/>
      </c>
    </row>
    <row r="286" spans="1:34" x14ac:dyDescent="0.25">
      <c r="A286" s="73" t="str">
        <f>IF(SalCommune[[#This Row],[Statut]]="","",IF(ISNA(VLOOKUP(SalCommune[[#This Row],[Statut]],'Grille communale'!$B$3:$B$5,1,FALSE))=TRUE,"Veuillez choisir le statut parmis la liste déroulante",""))</f>
        <v/>
      </c>
      <c r="B286" s="8"/>
      <c r="C286" s="8"/>
      <c r="D286" s="8"/>
      <c r="E286" s="21"/>
      <c r="F286" s="8"/>
      <c r="G286" s="8"/>
      <c r="H286" s="9"/>
      <c r="I286" s="9"/>
      <c r="J286" s="9"/>
      <c r="K286" s="10"/>
      <c r="L286" s="10"/>
      <c r="M286" s="9"/>
      <c r="N286" s="9"/>
      <c r="O286" s="9"/>
      <c r="P286"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86" s="9"/>
      <c r="R286" s="9"/>
      <c r="S286" s="38"/>
      <c r="T286" s="38"/>
      <c r="U286" s="38"/>
      <c r="V286" s="38"/>
      <c r="W286" s="38"/>
      <c r="X286" s="67" t="str">
        <f>IF(COUNTA(SalCommune[[#This Row],[N°]:[heures annuelles
selon contrat(s)]])=0,"",SalCommune[[#This Row],[Brut]]+SalCommune[[#This Row],[Autres Primes]]+SalCommune[[#This Row],[Part patronale]]-ABS(SalCommune[[#This Row],[Remboursement Mutualité]])-ABS(SalCommune[[#This Row],[Remboursement
Autres]]))</f>
        <v/>
      </c>
      <c r="Y286" s="38"/>
      <c r="Z286"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86" s="8"/>
      <c r="AB286" s="64"/>
      <c r="AC286"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86"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86" s="505"/>
      <c r="AF286" s="187"/>
      <c r="AG286" s="200" t="str">
        <f>IF(COUNTA(SalCommune[[#This Row],[N°]:[heures annuelles
selon contrat(s)]])=0,"",REVEX!$E$9)</f>
        <v/>
      </c>
      <c r="AH286" s="73" t="str">
        <f>IF(SalCommune[[#This Row],[Allocations fonctions]]="","",IF(ISNA(VLOOKUP(SalCommune[[#This Row],[Allocations fonctions]],DROPDOWN[Dropdown82],1,FALSE))=TRUE,"&lt;-- Veuillez choisir l'allocation parmis la liste déroulante.",""))</f>
        <v/>
      </c>
    </row>
    <row r="287" spans="1:34" x14ac:dyDescent="0.25">
      <c r="A287" s="73" t="str">
        <f>IF(SalCommune[[#This Row],[Statut]]="","",IF(ISNA(VLOOKUP(SalCommune[[#This Row],[Statut]],'Grille communale'!$B$3:$B$5,1,FALSE))=TRUE,"Veuillez choisir le statut parmis la liste déroulante",""))</f>
        <v/>
      </c>
      <c r="B287" s="8"/>
      <c r="C287" s="8"/>
      <c r="D287" s="8"/>
      <c r="E287" s="21"/>
      <c r="F287" s="8"/>
      <c r="G287" s="8"/>
      <c r="H287" s="9"/>
      <c r="I287" s="9"/>
      <c r="J287" s="9"/>
      <c r="K287" s="10"/>
      <c r="L287" s="10"/>
      <c r="M287" s="9"/>
      <c r="N287" s="9"/>
      <c r="O287" s="9"/>
      <c r="P287"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87" s="9"/>
      <c r="R287" s="9"/>
      <c r="S287" s="38"/>
      <c r="T287" s="38"/>
      <c r="U287" s="38"/>
      <c r="V287" s="38"/>
      <c r="W287" s="38"/>
      <c r="X287" s="67" t="str">
        <f>IF(COUNTA(SalCommune[[#This Row],[N°]:[heures annuelles
selon contrat(s)]])=0,"",SalCommune[[#This Row],[Brut]]+SalCommune[[#This Row],[Autres Primes]]+SalCommune[[#This Row],[Part patronale]]-ABS(SalCommune[[#This Row],[Remboursement Mutualité]])-ABS(SalCommune[[#This Row],[Remboursement
Autres]]))</f>
        <v/>
      </c>
      <c r="Y287" s="38"/>
      <c r="Z287"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87" s="8"/>
      <c r="AB287" s="64"/>
      <c r="AC287"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87"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87" s="505"/>
      <c r="AF287" s="187"/>
      <c r="AG287" s="200" t="str">
        <f>IF(COUNTA(SalCommune[[#This Row],[N°]:[heures annuelles
selon contrat(s)]])=0,"",REVEX!$E$9)</f>
        <v/>
      </c>
      <c r="AH287" s="73" t="str">
        <f>IF(SalCommune[[#This Row],[Allocations fonctions]]="","",IF(ISNA(VLOOKUP(SalCommune[[#This Row],[Allocations fonctions]],DROPDOWN[Dropdown82],1,FALSE))=TRUE,"&lt;-- Veuillez choisir l'allocation parmis la liste déroulante.",""))</f>
        <v/>
      </c>
    </row>
    <row r="288" spans="1:34" x14ac:dyDescent="0.25">
      <c r="A288" s="73" t="str">
        <f>IF(SalCommune[[#This Row],[Statut]]="","",IF(ISNA(VLOOKUP(SalCommune[[#This Row],[Statut]],'Grille communale'!$B$3:$B$5,1,FALSE))=TRUE,"Veuillez choisir le statut parmis la liste déroulante",""))</f>
        <v/>
      </c>
      <c r="B288" s="8"/>
      <c r="C288" s="8"/>
      <c r="D288" s="8"/>
      <c r="E288" s="21"/>
      <c r="F288" s="8"/>
      <c r="G288" s="8"/>
      <c r="H288" s="9"/>
      <c r="I288" s="9"/>
      <c r="J288" s="9"/>
      <c r="K288" s="10"/>
      <c r="L288" s="10"/>
      <c r="M288" s="9"/>
      <c r="N288" s="9"/>
      <c r="O288" s="9"/>
      <c r="P288"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88" s="9"/>
      <c r="R288" s="9"/>
      <c r="S288" s="38"/>
      <c r="T288" s="38"/>
      <c r="U288" s="38"/>
      <c r="V288" s="38"/>
      <c r="W288" s="38"/>
      <c r="X288" s="67" t="str">
        <f>IF(COUNTA(SalCommune[[#This Row],[N°]:[heures annuelles
selon contrat(s)]])=0,"",SalCommune[[#This Row],[Brut]]+SalCommune[[#This Row],[Autres Primes]]+SalCommune[[#This Row],[Part patronale]]-ABS(SalCommune[[#This Row],[Remboursement Mutualité]])-ABS(SalCommune[[#This Row],[Remboursement
Autres]]))</f>
        <v/>
      </c>
      <c r="Y288" s="38"/>
      <c r="Z288"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88" s="8"/>
      <c r="AB288" s="64"/>
      <c r="AC288"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88"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88" s="505"/>
      <c r="AF288" s="187"/>
      <c r="AG288" s="200" t="str">
        <f>IF(COUNTA(SalCommune[[#This Row],[N°]:[heures annuelles
selon contrat(s)]])=0,"",REVEX!$E$9)</f>
        <v/>
      </c>
      <c r="AH288" s="73" t="str">
        <f>IF(SalCommune[[#This Row],[Allocations fonctions]]="","",IF(ISNA(VLOOKUP(SalCommune[[#This Row],[Allocations fonctions]],DROPDOWN[Dropdown82],1,FALSE))=TRUE,"&lt;-- Veuillez choisir l'allocation parmis la liste déroulante.",""))</f>
        <v/>
      </c>
    </row>
    <row r="289" spans="1:34" x14ac:dyDescent="0.25">
      <c r="A289" s="73" t="str">
        <f>IF(SalCommune[[#This Row],[Statut]]="","",IF(ISNA(VLOOKUP(SalCommune[[#This Row],[Statut]],'Grille communale'!$B$3:$B$5,1,FALSE))=TRUE,"Veuillez choisir le statut parmis la liste déroulante",""))</f>
        <v/>
      </c>
      <c r="B289" s="8"/>
      <c r="C289" s="8"/>
      <c r="D289" s="8"/>
      <c r="E289" s="21"/>
      <c r="F289" s="8"/>
      <c r="G289" s="8"/>
      <c r="H289" s="9"/>
      <c r="I289" s="9"/>
      <c r="J289" s="9"/>
      <c r="K289" s="10"/>
      <c r="L289" s="10"/>
      <c r="M289" s="9"/>
      <c r="N289" s="9"/>
      <c r="O289" s="9"/>
      <c r="P289"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89" s="9"/>
      <c r="R289" s="9"/>
      <c r="S289" s="38"/>
      <c r="T289" s="38"/>
      <c r="U289" s="38"/>
      <c r="V289" s="38"/>
      <c r="W289" s="38"/>
      <c r="X289" s="67" t="str">
        <f>IF(COUNTA(SalCommune[[#This Row],[N°]:[heures annuelles
selon contrat(s)]])=0,"",SalCommune[[#This Row],[Brut]]+SalCommune[[#This Row],[Autres Primes]]+SalCommune[[#This Row],[Part patronale]]-ABS(SalCommune[[#This Row],[Remboursement Mutualité]])-ABS(SalCommune[[#This Row],[Remboursement
Autres]]))</f>
        <v/>
      </c>
      <c r="Y289" s="38"/>
      <c r="Z289"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89" s="8"/>
      <c r="AB289" s="64"/>
      <c r="AC289"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89"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89" s="505"/>
      <c r="AF289" s="187"/>
      <c r="AG289" s="200" t="str">
        <f>IF(COUNTA(SalCommune[[#This Row],[N°]:[heures annuelles
selon contrat(s)]])=0,"",REVEX!$E$9)</f>
        <v/>
      </c>
      <c r="AH289" s="73" t="str">
        <f>IF(SalCommune[[#This Row],[Allocations fonctions]]="","",IF(ISNA(VLOOKUP(SalCommune[[#This Row],[Allocations fonctions]],DROPDOWN[Dropdown82],1,FALSE))=TRUE,"&lt;-- Veuillez choisir l'allocation parmis la liste déroulante.",""))</f>
        <v/>
      </c>
    </row>
    <row r="290" spans="1:34" x14ac:dyDescent="0.25">
      <c r="A290" s="73" t="str">
        <f>IF(SalCommune[[#This Row],[Statut]]="","",IF(ISNA(VLOOKUP(SalCommune[[#This Row],[Statut]],'Grille communale'!$B$3:$B$5,1,FALSE))=TRUE,"Veuillez choisir le statut parmis la liste déroulante",""))</f>
        <v/>
      </c>
      <c r="B290" s="8"/>
      <c r="C290" s="8"/>
      <c r="D290" s="8"/>
      <c r="E290" s="21"/>
      <c r="F290" s="8"/>
      <c r="G290" s="8"/>
      <c r="H290" s="9"/>
      <c r="I290" s="9"/>
      <c r="J290" s="9"/>
      <c r="K290" s="10"/>
      <c r="L290" s="10"/>
      <c r="M290" s="9"/>
      <c r="N290" s="9"/>
      <c r="O290" s="9"/>
      <c r="P290"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90" s="9"/>
      <c r="R290" s="9"/>
      <c r="S290" s="38"/>
      <c r="T290" s="38"/>
      <c r="U290" s="38"/>
      <c r="V290" s="38"/>
      <c r="W290" s="38"/>
      <c r="X290" s="67" t="str">
        <f>IF(COUNTA(SalCommune[[#This Row],[N°]:[heures annuelles
selon contrat(s)]])=0,"",SalCommune[[#This Row],[Brut]]+SalCommune[[#This Row],[Autres Primes]]+SalCommune[[#This Row],[Part patronale]]-ABS(SalCommune[[#This Row],[Remboursement Mutualité]])-ABS(SalCommune[[#This Row],[Remboursement
Autres]]))</f>
        <v/>
      </c>
      <c r="Y290" s="38"/>
      <c r="Z290"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90" s="8"/>
      <c r="AB290" s="64"/>
      <c r="AC290"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90"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90" s="505"/>
      <c r="AF290" s="187"/>
      <c r="AG290" s="200" t="str">
        <f>IF(COUNTA(SalCommune[[#This Row],[N°]:[heures annuelles
selon contrat(s)]])=0,"",REVEX!$E$9)</f>
        <v/>
      </c>
      <c r="AH290" s="73" t="str">
        <f>IF(SalCommune[[#This Row],[Allocations fonctions]]="","",IF(ISNA(VLOOKUP(SalCommune[[#This Row],[Allocations fonctions]],DROPDOWN[Dropdown82],1,FALSE))=TRUE,"&lt;-- Veuillez choisir l'allocation parmis la liste déroulante.",""))</f>
        <v/>
      </c>
    </row>
    <row r="291" spans="1:34" x14ac:dyDescent="0.25">
      <c r="A291" s="73" t="str">
        <f>IF(SalCommune[[#This Row],[Statut]]="","",IF(ISNA(VLOOKUP(SalCommune[[#This Row],[Statut]],'Grille communale'!$B$3:$B$5,1,FALSE))=TRUE,"Veuillez choisir le statut parmis la liste déroulante",""))</f>
        <v/>
      </c>
      <c r="B291" s="8"/>
      <c r="C291" s="8"/>
      <c r="D291" s="8"/>
      <c r="E291" s="21"/>
      <c r="F291" s="8"/>
      <c r="G291" s="8"/>
      <c r="H291" s="9"/>
      <c r="I291" s="9"/>
      <c r="J291" s="9"/>
      <c r="K291" s="10"/>
      <c r="L291" s="10"/>
      <c r="M291" s="9"/>
      <c r="N291" s="9"/>
      <c r="O291" s="9"/>
      <c r="P291"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91" s="9"/>
      <c r="R291" s="9"/>
      <c r="S291" s="38"/>
      <c r="T291" s="38"/>
      <c r="U291" s="38"/>
      <c r="V291" s="38"/>
      <c r="W291" s="38"/>
      <c r="X291" s="67" t="str">
        <f>IF(COUNTA(SalCommune[[#This Row],[N°]:[heures annuelles
selon contrat(s)]])=0,"",SalCommune[[#This Row],[Brut]]+SalCommune[[#This Row],[Autres Primes]]+SalCommune[[#This Row],[Part patronale]]-ABS(SalCommune[[#This Row],[Remboursement Mutualité]])-ABS(SalCommune[[#This Row],[Remboursement
Autres]]))</f>
        <v/>
      </c>
      <c r="Y291" s="38"/>
      <c r="Z291"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91" s="8"/>
      <c r="AB291" s="64"/>
      <c r="AC291"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91"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91" s="505"/>
      <c r="AF291" s="187"/>
      <c r="AG291" s="200" t="str">
        <f>IF(COUNTA(SalCommune[[#This Row],[N°]:[heures annuelles
selon contrat(s)]])=0,"",REVEX!$E$9)</f>
        <v/>
      </c>
      <c r="AH291" s="73" t="str">
        <f>IF(SalCommune[[#This Row],[Allocations fonctions]]="","",IF(ISNA(VLOOKUP(SalCommune[[#This Row],[Allocations fonctions]],DROPDOWN[Dropdown82],1,FALSE))=TRUE,"&lt;-- Veuillez choisir l'allocation parmis la liste déroulante.",""))</f>
        <v/>
      </c>
    </row>
    <row r="292" spans="1:34" x14ac:dyDescent="0.25">
      <c r="A292" s="73" t="str">
        <f>IF(SalCommune[[#This Row],[Statut]]="","",IF(ISNA(VLOOKUP(SalCommune[[#This Row],[Statut]],'Grille communale'!$B$3:$B$5,1,FALSE))=TRUE,"Veuillez choisir le statut parmis la liste déroulante",""))</f>
        <v/>
      </c>
      <c r="B292" s="8"/>
      <c r="C292" s="8"/>
      <c r="D292" s="8"/>
      <c r="E292" s="21"/>
      <c r="F292" s="8"/>
      <c r="G292" s="8"/>
      <c r="H292" s="9"/>
      <c r="I292" s="9"/>
      <c r="J292" s="9"/>
      <c r="K292" s="10"/>
      <c r="L292" s="10"/>
      <c r="M292" s="9"/>
      <c r="N292" s="9"/>
      <c r="O292" s="9"/>
      <c r="P292"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92" s="9"/>
      <c r="R292" s="9"/>
      <c r="S292" s="38"/>
      <c r="T292" s="38"/>
      <c r="U292" s="38"/>
      <c r="V292" s="38"/>
      <c r="W292" s="38"/>
      <c r="X292" s="67" t="str">
        <f>IF(COUNTA(SalCommune[[#This Row],[N°]:[heures annuelles
selon contrat(s)]])=0,"",SalCommune[[#This Row],[Brut]]+SalCommune[[#This Row],[Autres Primes]]+SalCommune[[#This Row],[Part patronale]]-ABS(SalCommune[[#This Row],[Remboursement Mutualité]])-ABS(SalCommune[[#This Row],[Remboursement
Autres]]))</f>
        <v/>
      </c>
      <c r="Y292" s="38"/>
      <c r="Z292"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92" s="8"/>
      <c r="AB292" s="64"/>
      <c r="AC292"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92"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92" s="505"/>
      <c r="AF292" s="187"/>
      <c r="AG292" s="200" t="str">
        <f>IF(COUNTA(SalCommune[[#This Row],[N°]:[heures annuelles
selon contrat(s)]])=0,"",REVEX!$E$9)</f>
        <v/>
      </c>
      <c r="AH292" s="73" t="str">
        <f>IF(SalCommune[[#This Row],[Allocations fonctions]]="","",IF(ISNA(VLOOKUP(SalCommune[[#This Row],[Allocations fonctions]],DROPDOWN[Dropdown82],1,FALSE))=TRUE,"&lt;-- Veuillez choisir l'allocation parmis la liste déroulante.",""))</f>
        <v/>
      </c>
    </row>
    <row r="293" spans="1:34" x14ac:dyDescent="0.25">
      <c r="A293" s="73" t="str">
        <f>IF(SalCommune[[#This Row],[Statut]]="","",IF(ISNA(VLOOKUP(SalCommune[[#This Row],[Statut]],'Grille communale'!$B$3:$B$5,1,FALSE))=TRUE,"Veuillez choisir le statut parmis la liste déroulante",""))</f>
        <v/>
      </c>
      <c r="B293" s="8"/>
      <c r="C293" s="8"/>
      <c r="D293" s="8"/>
      <c r="E293" s="21"/>
      <c r="F293" s="8"/>
      <c r="G293" s="8"/>
      <c r="H293" s="9"/>
      <c r="I293" s="9"/>
      <c r="J293" s="9"/>
      <c r="K293" s="10"/>
      <c r="L293" s="10"/>
      <c r="M293" s="9"/>
      <c r="N293" s="9"/>
      <c r="O293" s="9"/>
      <c r="P293"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93" s="9"/>
      <c r="R293" s="9"/>
      <c r="S293" s="38"/>
      <c r="T293" s="38"/>
      <c r="U293" s="38"/>
      <c r="V293" s="38"/>
      <c r="W293" s="38"/>
      <c r="X293" s="67" t="str">
        <f>IF(COUNTA(SalCommune[[#This Row],[N°]:[heures annuelles
selon contrat(s)]])=0,"",SalCommune[[#This Row],[Brut]]+SalCommune[[#This Row],[Autres Primes]]+SalCommune[[#This Row],[Part patronale]]-ABS(SalCommune[[#This Row],[Remboursement Mutualité]])-ABS(SalCommune[[#This Row],[Remboursement
Autres]]))</f>
        <v/>
      </c>
      <c r="Y293" s="38"/>
      <c r="Z293"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93" s="8"/>
      <c r="AB293" s="64"/>
      <c r="AC293"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93"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93" s="505"/>
      <c r="AF293" s="187"/>
      <c r="AG293" s="200" t="str">
        <f>IF(COUNTA(SalCommune[[#This Row],[N°]:[heures annuelles
selon contrat(s)]])=0,"",REVEX!$E$9)</f>
        <v/>
      </c>
      <c r="AH293" s="73" t="str">
        <f>IF(SalCommune[[#This Row],[Allocations fonctions]]="","",IF(ISNA(VLOOKUP(SalCommune[[#This Row],[Allocations fonctions]],DROPDOWN[Dropdown82],1,FALSE))=TRUE,"&lt;-- Veuillez choisir l'allocation parmis la liste déroulante.",""))</f>
        <v/>
      </c>
    </row>
    <row r="294" spans="1:34" x14ac:dyDescent="0.25">
      <c r="A294" s="73" t="str">
        <f>IF(SalCommune[[#This Row],[Statut]]="","",IF(ISNA(VLOOKUP(SalCommune[[#This Row],[Statut]],'Grille communale'!$B$3:$B$5,1,FALSE))=TRUE,"Veuillez choisir le statut parmis la liste déroulante",""))</f>
        <v/>
      </c>
      <c r="B294" s="8"/>
      <c r="C294" s="8"/>
      <c r="D294" s="8"/>
      <c r="E294" s="21"/>
      <c r="F294" s="8"/>
      <c r="G294" s="8"/>
      <c r="H294" s="9"/>
      <c r="I294" s="9"/>
      <c r="J294" s="9"/>
      <c r="K294" s="10"/>
      <c r="L294" s="10"/>
      <c r="M294" s="9"/>
      <c r="N294" s="9"/>
      <c r="O294" s="9"/>
      <c r="P294"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94" s="9"/>
      <c r="R294" s="9"/>
      <c r="S294" s="38"/>
      <c r="T294" s="38"/>
      <c r="U294" s="38"/>
      <c r="V294" s="38"/>
      <c r="W294" s="38"/>
      <c r="X294" s="67" t="str">
        <f>IF(COUNTA(SalCommune[[#This Row],[N°]:[heures annuelles
selon contrat(s)]])=0,"",SalCommune[[#This Row],[Brut]]+SalCommune[[#This Row],[Autres Primes]]+SalCommune[[#This Row],[Part patronale]]-ABS(SalCommune[[#This Row],[Remboursement Mutualité]])-ABS(SalCommune[[#This Row],[Remboursement
Autres]]))</f>
        <v/>
      </c>
      <c r="Y294" s="38"/>
      <c r="Z294"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94" s="8"/>
      <c r="AB294" s="64"/>
      <c r="AC294"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94"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94" s="505"/>
      <c r="AF294" s="187"/>
      <c r="AG294" s="200" t="str">
        <f>IF(COUNTA(SalCommune[[#This Row],[N°]:[heures annuelles
selon contrat(s)]])=0,"",REVEX!$E$9)</f>
        <v/>
      </c>
      <c r="AH294" s="73" t="str">
        <f>IF(SalCommune[[#This Row],[Allocations fonctions]]="","",IF(ISNA(VLOOKUP(SalCommune[[#This Row],[Allocations fonctions]],DROPDOWN[Dropdown82],1,FALSE))=TRUE,"&lt;-- Veuillez choisir l'allocation parmis la liste déroulante.",""))</f>
        <v/>
      </c>
    </row>
    <row r="295" spans="1:34" x14ac:dyDescent="0.25">
      <c r="A295" s="73" t="str">
        <f>IF(SalCommune[[#This Row],[Statut]]="","",IF(ISNA(VLOOKUP(SalCommune[[#This Row],[Statut]],'Grille communale'!$B$3:$B$5,1,FALSE))=TRUE,"Veuillez choisir le statut parmis la liste déroulante",""))</f>
        <v/>
      </c>
      <c r="B295" s="8"/>
      <c r="C295" s="8"/>
      <c r="D295" s="8"/>
      <c r="E295" s="21"/>
      <c r="F295" s="8"/>
      <c r="G295" s="8"/>
      <c r="H295" s="9"/>
      <c r="I295" s="9"/>
      <c r="J295" s="9"/>
      <c r="K295" s="10"/>
      <c r="L295" s="10"/>
      <c r="M295" s="9"/>
      <c r="N295" s="9"/>
      <c r="O295" s="9"/>
      <c r="P295"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95" s="9"/>
      <c r="R295" s="9"/>
      <c r="S295" s="38"/>
      <c r="T295" s="38"/>
      <c r="U295" s="38"/>
      <c r="V295" s="38"/>
      <c r="W295" s="38"/>
      <c r="X295" s="67" t="str">
        <f>IF(COUNTA(SalCommune[[#This Row],[N°]:[heures annuelles
selon contrat(s)]])=0,"",SalCommune[[#This Row],[Brut]]+SalCommune[[#This Row],[Autres Primes]]+SalCommune[[#This Row],[Part patronale]]-ABS(SalCommune[[#This Row],[Remboursement Mutualité]])-ABS(SalCommune[[#This Row],[Remboursement
Autres]]))</f>
        <v/>
      </c>
      <c r="Y295" s="38"/>
      <c r="Z295"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95" s="8"/>
      <c r="AB295" s="64"/>
      <c r="AC295"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95"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95" s="505"/>
      <c r="AF295" s="187"/>
      <c r="AG295" s="200" t="str">
        <f>IF(COUNTA(SalCommune[[#This Row],[N°]:[heures annuelles
selon contrat(s)]])=0,"",REVEX!$E$9)</f>
        <v/>
      </c>
      <c r="AH295" s="73" t="str">
        <f>IF(SalCommune[[#This Row],[Allocations fonctions]]="","",IF(ISNA(VLOOKUP(SalCommune[[#This Row],[Allocations fonctions]],DROPDOWN[Dropdown82],1,FALSE))=TRUE,"&lt;-- Veuillez choisir l'allocation parmis la liste déroulante.",""))</f>
        <v/>
      </c>
    </row>
    <row r="296" spans="1:34" x14ac:dyDescent="0.25">
      <c r="A296" s="73" t="str">
        <f>IF(SalCommune[[#This Row],[Statut]]="","",IF(ISNA(VLOOKUP(SalCommune[[#This Row],[Statut]],'Grille communale'!$B$3:$B$5,1,FALSE))=TRUE,"Veuillez choisir le statut parmis la liste déroulante",""))</f>
        <v/>
      </c>
      <c r="B296" s="8"/>
      <c r="C296" s="8"/>
      <c r="D296" s="8"/>
      <c r="E296" s="21"/>
      <c r="F296" s="8"/>
      <c r="G296" s="8"/>
      <c r="H296" s="9"/>
      <c r="I296" s="9"/>
      <c r="J296" s="9"/>
      <c r="K296" s="10"/>
      <c r="L296" s="10"/>
      <c r="M296" s="9"/>
      <c r="N296" s="9"/>
      <c r="O296" s="9"/>
      <c r="P296"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96" s="9"/>
      <c r="R296" s="9"/>
      <c r="S296" s="38"/>
      <c r="T296" s="38"/>
      <c r="U296" s="38"/>
      <c r="V296" s="38"/>
      <c r="W296" s="38"/>
      <c r="X296" s="67" t="str">
        <f>IF(COUNTA(SalCommune[[#This Row],[N°]:[heures annuelles
selon contrat(s)]])=0,"",SalCommune[[#This Row],[Brut]]+SalCommune[[#This Row],[Autres Primes]]+SalCommune[[#This Row],[Part patronale]]-ABS(SalCommune[[#This Row],[Remboursement Mutualité]])-ABS(SalCommune[[#This Row],[Remboursement
Autres]]))</f>
        <v/>
      </c>
      <c r="Y296" s="38"/>
      <c r="Z296"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96" s="8"/>
      <c r="AB296" s="64"/>
      <c r="AC296"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96"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96" s="505"/>
      <c r="AF296" s="187"/>
      <c r="AG296" s="200" t="str">
        <f>IF(COUNTA(SalCommune[[#This Row],[N°]:[heures annuelles
selon contrat(s)]])=0,"",REVEX!$E$9)</f>
        <v/>
      </c>
      <c r="AH296" s="73" t="str">
        <f>IF(SalCommune[[#This Row],[Allocations fonctions]]="","",IF(ISNA(VLOOKUP(SalCommune[[#This Row],[Allocations fonctions]],DROPDOWN[Dropdown82],1,FALSE))=TRUE,"&lt;-- Veuillez choisir l'allocation parmis la liste déroulante.",""))</f>
        <v/>
      </c>
    </row>
    <row r="297" spans="1:34" x14ac:dyDescent="0.25">
      <c r="A297" s="73" t="str">
        <f>IF(SalCommune[[#This Row],[Statut]]="","",IF(ISNA(VLOOKUP(SalCommune[[#This Row],[Statut]],'Grille communale'!$B$3:$B$5,1,FALSE))=TRUE,"Veuillez choisir le statut parmis la liste déroulante",""))</f>
        <v/>
      </c>
      <c r="B297" s="8"/>
      <c r="C297" s="8"/>
      <c r="D297" s="8"/>
      <c r="E297" s="21"/>
      <c r="F297" s="8"/>
      <c r="G297" s="8"/>
      <c r="H297" s="9"/>
      <c r="I297" s="9"/>
      <c r="J297" s="9"/>
      <c r="K297" s="10"/>
      <c r="L297" s="10"/>
      <c r="M297" s="9"/>
      <c r="N297" s="9"/>
      <c r="O297" s="9"/>
      <c r="P297"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97" s="9"/>
      <c r="R297" s="9"/>
      <c r="S297" s="38"/>
      <c r="T297" s="38"/>
      <c r="U297" s="38"/>
      <c r="V297" s="38"/>
      <c r="W297" s="38"/>
      <c r="X297" s="67" t="str">
        <f>IF(COUNTA(SalCommune[[#This Row],[N°]:[heures annuelles
selon contrat(s)]])=0,"",SalCommune[[#This Row],[Brut]]+SalCommune[[#This Row],[Autres Primes]]+SalCommune[[#This Row],[Part patronale]]-ABS(SalCommune[[#This Row],[Remboursement Mutualité]])-ABS(SalCommune[[#This Row],[Remboursement
Autres]]))</f>
        <v/>
      </c>
      <c r="Y297" s="38"/>
      <c r="Z297"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97" s="8"/>
      <c r="AB297" s="64"/>
      <c r="AC297"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97"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97" s="505"/>
      <c r="AF297" s="187"/>
      <c r="AG297" s="200" t="str">
        <f>IF(COUNTA(SalCommune[[#This Row],[N°]:[heures annuelles
selon contrat(s)]])=0,"",REVEX!$E$9)</f>
        <v/>
      </c>
      <c r="AH297" s="73" t="str">
        <f>IF(SalCommune[[#This Row],[Allocations fonctions]]="","",IF(ISNA(VLOOKUP(SalCommune[[#This Row],[Allocations fonctions]],DROPDOWN[Dropdown82],1,FALSE))=TRUE,"&lt;-- Veuillez choisir l'allocation parmis la liste déroulante.",""))</f>
        <v/>
      </c>
    </row>
    <row r="298" spans="1:34" x14ac:dyDescent="0.25">
      <c r="A298" s="73" t="str">
        <f>IF(SalCommune[[#This Row],[Statut]]="","",IF(ISNA(VLOOKUP(SalCommune[[#This Row],[Statut]],'Grille communale'!$B$3:$B$5,1,FALSE))=TRUE,"Veuillez choisir le statut parmis la liste déroulante",""))</f>
        <v/>
      </c>
      <c r="B298" s="8"/>
      <c r="C298" s="8"/>
      <c r="D298" s="8"/>
      <c r="E298" s="21"/>
      <c r="F298" s="8"/>
      <c r="G298" s="8"/>
      <c r="H298" s="9"/>
      <c r="I298" s="9"/>
      <c r="J298" s="9"/>
      <c r="K298" s="10"/>
      <c r="L298" s="10"/>
      <c r="M298" s="9"/>
      <c r="N298" s="9"/>
      <c r="O298" s="9"/>
      <c r="P298"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98" s="9"/>
      <c r="R298" s="9"/>
      <c r="S298" s="38"/>
      <c r="T298" s="38"/>
      <c r="U298" s="38"/>
      <c r="V298" s="38"/>
      <c r="W298" s="38"/>
      <c r="X298" s="67" t="str">
        <f>IF(COUNTA(SalCommune[[#This Row],[N°]:[heures annuelles
selon contrat(s)]])=0,"",SalCommune[[#This Row],[Brut]]+SalCommune[[#This Row],[Autres Primes]]+SalCommune[[#This Row],[Part patronale]]-ABS(SalCommune[[#This Row],[Remboursement Mutualité]])-ABS(SalCommune[[#This Row],[Remboursement
Autres]]))</f>
        <v/>
      </c>
      <c r="Y298" s="38"/>
      <c r="Z298"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98" s="8"/>
      <c r="AB298" s="64"/>
      <c r="AC298"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98"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98" s="505"/>
      <c r="AF298" s="187"/>
      <c r="AG298" s="200" t="str">
        <f>IF(COUNTA(SalCommune[[#This Row],[N°]:[heures annuelles
selon contrat(s)]])=0,"",REVEX!$E$9)</f>
        <v/>
      </c>
      <c r="AH298" s="73" t="str">
        <f>IF(SalCommune[[#This Row],[Allocations fonctions]]="","",IF(ISNA(VLOOKUP(SalCommune[[#This Row],[Allocations fonctions]],DROPDOWN[Dropdown82],1,FALSE))=TRUE,"&lt;-- Veuillez choisir l'allocation parmis la liste déroulante.",""))</f>
        <v/>
      </c>
    </row>
    <row r="299" spans="1:34" x14ac:dyDescent="0.25">
      <c r="A299" s="73" t="str">
        <f>IF(SalCommune[[#This Row],[Statut]]="","",IF(ISNA(VLOOKUP(SalCommune[[#This Row],[Statut]],'Grille communale'!$B$3:$B$5,1,FALSE))=TRUE,"Veuillez choisir le statut parmis la liste déroulante",""))</f>
        <v/>
      </c>
      <c r="B299" s="8"/>
      <c r="C299" s="8"/>
      <c r="D299" s="8"/>
      <c r="E299" s="21"/>
      <c r="F299" s="8"/>
      <c r="G299" s="8"/>
      <c r="H299" s="9"/>
      <c r="I299" s="9"/>
      <c r="J299" s="9"/>
      <c r="K299" s="10"/>
      <c r="L299" s="10"/>
      <c r="M299" s="9"/>
      <c r="N299" s="9"/>
      <c r="O299" s="9"/>
      <c r="P299"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299" s="9"/>
      <c r="R299" s="9"/>
      <c r="S299" s="38"/>
      <c r="T299" s="38"/>
      <c r="U299" s="38"/>
      <c r="V299" s="38"/>
      <c r="W299" s="38"/>
      <c r="X299" s="67" t="str">
        <f>IF(COUNTA(SalCommune[[#This Row],[N°]:[heures annuelles
selon contrat(s)]])=0,"",SalCommune[[#This Row],[Brut]]+SalCommune[[#This Row],[Autres Primes]]+SalCommune[[#This Row],[Part patronale]]-ABS(SalCommune[[#This Row],[Remboursement Mutualité]])-ABS(SalCommune[[#This Row],[Remboursement
Autres]]))</f>
        <v/>
      </c>
      <c r="Y299" s="38"/>
      <c r="Z299"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299" s="8"/>
      <c r="AB299" s="64"/>
      <c r="AC299"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299"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299" s="505"/>
      <c r="AF299" s="187"/>
      <c r="AG299" s="200" t="str">
        <f>IF(COUNTA(SalCommune[[#This Row],[N°]:[heures annuelles
selon contrat(s)]])=0,"",REVEX!$E$9)</f>
        <v/>
      </c>
      <c r="AH299" s="73" t="str">
        <f>IF(SalCommune[[#This Row],[Allocations fonctions]]="","",IF(ISNA(VLOOKUP(SalCommune[[#This Row],[Allocations fonctions]],DROPDOWN[Dropdown82],1,FALSE))=TRUE,"&lt;-- Veuillez choisir l'allocation parmis la liste déroulante.",""))</f>
        <v/>
      </c>
    </row>
    <row r="300" spans="1:34" x14ac:dyDescent="0.25">
      <c r="A300" s="73" t="str">
        <f>IF(SalCommune[[#This Row],[Statut]]="","",IF(ISNA(VLOOKUP(SalCommune[[#This Row],[Statut]],'Grille communale'!$B$3:$B$5,1,FALSE))=TRUE,"Veuillez choisir le statut parmis la liste déroulante",""))</f>
        <v/>
      </c>
      <c r="B300" s="8"/>
      <c r="C300" s="8"/>
      <c r="D300" s="8"/>
      <c r="E300" s="21"/>
      <c r="F300" s="8"/>
      <c r="G300" s="8"/>
      <c r="H300" s="9"/>
      <c r="I300" s="9"/>
      <c r="J300" s="9"/>
      <c r="K300" s="10"/>
      <c r="L300" s="10"/>
      <c r="M300" s="9"/>
      <c r="N300" s="9"/>
      <c r="O300" s="9"/>
      <c r="P300"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00" s="9"/>
      <c r="R300" s="9"/>
      <c r="S300" s="38"/>
      <c r="T300" s="38"/>
      <c r="U300" s="38"/>
      <c r="V300" s="38"/>
      <c r="W300" s="38"/>
      <c r="X300" s="67" t="str">
        <f>IF(COUNTA(SalCommune[[#This Row],[N°]:[heures annuelles
selon contrat(s)]])=0,"",SalCommune[[#This Row],[Brut]]+SalCommune[[#This Row],[Autres Primes]]+SalCommune[[#This Row],[Part patronale]]-ABS(SalCommune[[#This Row],[Remboursement Mutualité]])-ABS(SalCommune[[#This Row],[Remboursement
Autres]]))</f>
        <v/>
      </c>
      <c r="Y300" s="38"/>
      <c r="Z300"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00" s="8"/>
      <c r="AB300" s="64"/>
      <c r="AC300"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00"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00" s="505"/>
      <c r="AF300" s="187"/>
      <c r="AG300" s="200" t="str">
        <f>IF(COUNTA(SalCommune[[#This Row],[N°]:[heures annuelles
selon contrat(s)]])=0,"",REVEX!$E$9)</f>
        <v/>
      </c>
      <c r="AH300" s="73" t="str">
        <f>IF(SalCommune[[#This Row],[Allocations fonctions]]="","",IF(ISNA(VLOOKUP(SalCommune[[#This Row],[Allocations fonctions]],DROPDOWN[Dropdown82],1,FALSE))=TRUE,"&lt;-- Veuillez choisir l'allocation parmis la liste déroulante.",""))</f>
        <v/>
      </c>
    </row>
    <row r="301" spans="1:34" x14ac:dyDescent="0.25">
      <c r="A301" s="73" t="str">
        <f>IF(SalCommune[[#This Row],[Statut]]="","",IF(ISNA(VLOOKUP(SalCommune[[#This Row],[Statut]],'Grille communale'!$B$3:$B$5,1,FALSE))=TRUE,"Veuillez choisir le statut parmis la liste déroulante",""))</f>
        <v/>
      </c>
      <c r="B301" s="8"/>
      <c r="C301" s="8"/>
      <c r="D301" s="8"/>
      <c r="E301" s="21"/>
      <c r="F301" s="8"/>
      <c r="G301" s="8"/>
      <c r="H301" s="9"/>
      <c r="I301" s="9"/>
      <c r="J301" s="9"/>
      <c r="K301" s="10"/>
      <c r="L301" s="10"/>
      <c r="M301" s="9"/>
      <c r="N301" s="9"/>
      <c r="O301" s="9"/>
      <c r="P301"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01" s="9"/>
      <c r="R301" s="9"/>
      <c r="S301" s="38"/>
      <c r="T301" s="38"/>
      <c r="U301" s="38"/>
      <c r="V301" s="38"/>
      <c r="W301" s="38"/>
      <c r="X301" s="67" t="str">
        <f>IF(COUNTA(SalCommune[[#This Row],[N°]:[heures annuelles
selon contrat(s)]])=0,"",SalCommune[[#This Row],[Brut]]+SalCommune[[#This Row],[Autres Primes]]+SalCommune[[#This Row],[Part patronale]]-ABS(SalCommune[[#This Row],[Remboursement Mutualité]])-ABS(SalCommune[[#This Row],[Remboursement
Autres]]))</f>
        <v/>
      </c>
      <c r="Y301" s="38"/>
      <c r="Z301"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01" s="8"/>
      <c r="AB301" s="64"/>
      <c r="AC301"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01"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01" s="505"/>
      <c r="AF301" s="187"/>
      <c r="AG301" s="200" t="str">
        <f>IF(COUNTA(SalCommune[[#This Row],[N°]:[heures annuelles
selon contrat(s)]])=0,"",REVEX!$E$9)</f>
        <v/>
      </c>
      <c r="AH301" s="73" t="str">
        <f>IF(SalCommune[[#This Row],[Allocations fonctions]]="","",IF(ISNA(VLOOKUP(SalCommune[[#This Row],[Allocations fonctions]],DROPDOWN[Dropdown82],1,FALSE))=TRUE,"&lt;-- Veuillez choisir l'allocation parmis la liste déroulante.",""))</f>
        <v/>
      </c>
    </row>
    <row r="302" spans="1:34" x14ac:dyDescent="0.25">
      <c r="A302" s="73" t="str">
        <f>IF(SalCommune[[#This Row],[Statut]]="","",IF(ISNA(VLOOKUP(SalCommune[[#This Row],[Statut]],'Grille communale'!$B$3:$B$5,1,FALSE))=TRUE,"Veuillez choisir le statut parmis la liste déroulante",""))</f>
        <v/>
      </c>
      <c r="B302" s="8"/>
      <c r="C302" s="8"/>
      <c r="D302" s="8"/>
      <c r="E302" s="21"/>
      <c r="F302" s="8"/>
      <c r="G302" s="8"/>
      <c r="H302" s="9"/>
      <c r="I302" s="9"/>
      <c r="J302" s="9"/>
      <c r="K302" s="10"/>
      <c r="L302" s="10"/>
      <c r="M302" s="9"/>
      <c r="N302" s="9"/>
      <c r="O302" s="9"/>
      <c r="P302"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02" s="9"/>
      <c r="R302" s="9"/>
      <c r="S302" s="38"/>
      <c r="T302" s="38"/>
      <c r="U302" s="38"/>
      <c r="V302" s="38"/>
      <c r="W302" s="38"/>
      <c r="X302" s="67" t="str">
        <f>IF(COUNTA(SalCommune[[#This Row],[N°]:[heures annuelles
selon contrat(s)]])=0,"",SalCommune[[#This Row],[Brut]]+SalCommune[[#This Row],[Autres Primes]]+SalCommune[[#This Row],[Part patronale]]-ABS(SalCommune[[#This Row],[Remboursement Mutualité]])-ABS(SalCommune[[#This Row],[Remboursement
Autres]]))</f>
        <v/>
      </c>
      <c r="Y302" s="38"/>
      <c r="Z302"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02" s="8"/>
      <c r="AB302" s="64"/>
      <c r="AC302"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02"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02" s="505"/>
      <c r="AF302" s="187"/>
      <c r="AG302" s="200" t="str">
        <f>IF(COUNTA(SalCommune[[#This Row],[N°]:[heures annuelles
selon contrat(s)]])=0,"",REVEX!$E$9)</f>
        <v/>
      </c>
      <c r="AH302" s="73" t="str">
        <f>IF(SalCommune[[#This Row],[Allocations fonctions]]="","",IF(ISNA(VLOOKUP(SalCommune[[#This Row],[Allocations fonctions]],DROPDOWN[Dropdown82],1,FALSE))=TRUE,"&lt;-- Veuillez choisir l'allocation parmis la liste déroulante.",""))</f>
        <v/>
      </c>
    </row>
    <row r="303" spans="1:34" x14ac:dyDescent="0.25">
      <c r="A303" s="73" t="str">
        <f>IF(SalCommune[[#This Row],[Statut]]="","",IF(ISNA(VLOOKUP(SalCommune[[#This Row],[Statut]],'Grille communale'!$B$3:$B$5,1,FALSE))=TRUE,"Veuillez choisir le statut parmis la liste déroulante",""))</f>
        <v/>
      </c>
      <c r="B303" s="8"/>
      <c r="C303" s="8"/>
      <c r="D303" s="8"/>
      <c r="E303" s="21"/>
      <c r="F303" s="8"/>
      <c r="G303" s="8"/>
      <c r="H303" s="9"/>
      <c r="I303" s="9"/>
      <c r="J303" s="9"/>
      <c r="K303" s="10"/>
      <c r="L303" s="10"/>
      <c r="M303" s="9"/>
      <c r="N303" s="9"/>
      <c r="O303" s="9"/>
      <c r="P303"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03" s="9"/>
      <c r="R303" s="9"/>
      <c r="S303" s="38"/>
      <c r="T303" s="38"/>
      <c r="U303" s="38"/>
      <c r="V303" s="38"/>
      <c r="W303" s="38"/>
      <c r="X303" s="67" t="str">
        <f>IF(COUNTA(SalCommune[[#This Row],[N°]:[heures annuelles
selon contrat(s)]])=0,"",SalCommune[[#This Row],[Brut]]+SalCommune[[#This Row],[Autres Primes]]+SalCommune[[#This Row],[Part patronale]]-ABS(SalCommune[[#This Row],[Remboursement Mutualité]])-ABS(SalCommune[[#This Row],[Remboursement
Autres]]))</f>
        <v/>
      </c>
      <c r="Y303" s="38"/>
      <c r="Z303"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03" s="8"/>
      <c r="AB303" s="64"/>
      <c r="AC303"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03"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03" s="505"/>
      <c r="AF303" s="187"/>
      <c r="AG303" s="200" t="str">
        <f>IF(COUNTA(SalCommune[[#This Row],[N°]:[heures annuelles
selon contrat(s)]])=0,"",REVEX!$E$9)</f>
        <v/>
      </c>
      <c r="AH303" s="73" t="str">
        <f>IF(SalCommune[[#This Row],[Allocations fonctions]]="","",IF(ISNA(VLOOKUP(SalCommune[[#This Row],[Allocations fonctions]],DROPDOWN[Dropdown82],1,FALSE))=TRUE,"&lt;-- Veuillez choisir l'allocation parmis la liste déroulante.",""))</f>
        <v/>
      </c>
    </row>
    <row r="304" spans="1:34" x14ac:dyDescent="0.25">
      <c r="A304" s="73" t="str">
        <f>IF(SalCommune[[#This Row],[Statut]]="","",IF(ISNA(VLOOKUP(SalCommune[[#This Row],[Statut]],'Grille communale'!$B$3:$B$5,1,FALSE))=TRUE,"Veuillez choisir le statut parmis la liste déroulante",""))</f>
        <v/>
      </c>
      <c r="B304" s="8"/>
      <c r="C304" s="8"/>
      <c r="D304" s="8"/>
      <c r="E304" s="21"/>
      <c r="F304" s="8"/>
      <c r="G304" s="8"/>
      <c r="H304" s="9"/>
      <c r="I304" s="9"/>
      <c r="J304" s="9"/>
      <c r="K304" s="10"/>
      <c r="L304" s="10"/>
      <c r="M304" s="9"/>
      <c r="N304" s="9"/>
      <c r="O304" s="9"/>
      <c r="P304"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04" s="9"/>
      <c r="R304" s="9"/>
      <c r="S304" s="38"/>
      <c r="T304" s="38"/>
      <c r="U304" s="38"/>
      <c r="V304" s="38"/>
      <c r="W304" s="38"/>
      <c r="X304" s="67" t="str">
        <f>IF(COUNTA(SalCommune[[#This Row],[N°]:[heures annuelles
selon contrat(s)]])=0,"",SalCommune[[#This Row],[Brut]]+SalCommune[[#This Row],[Autres Primes]]+SalCommune[[#This Row],[Part patronale]]-ABS(SalCommune[[#This Row],[Remboursement Mutualité]])-ABS(SalCommune[[#This Row],[Remboursement
Autres]]))</f>
        <v/>
      </c>
      <c r="Y304" s="38"/>
      <c r="Z304"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04" s="8"/>
      <c r="AB304" s="64"/>
      <c r="AC304"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04"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04" s="505"/>
      <c r="AF304" s="187"/>
      <c r="AG304" s="200" t="str">
        <f>IF(COUNTA(SalCommune[[#This Row],[N°]:[heures annuelles
selon contrat(s)]])=0,"",REVEX!$E$9)</f>
        <v/>
      </c>
      <c r="AH304" s="73" t="str">
        <f>IF(SalCommune[[#This Row],[Allocations fonctions]]="","",IF(ISNA(VLOOKUP(SalCommune[[#This Row],[Allocations fonctions]],DROPDOWN[Dropdown82],1,FALSE))=TRUE,"&lt;-- Veuillez choisir l'allocation parmis la liste déroulante.",""))</f>
        <v/>
      </c>
    </row>
    <row r="305" spans="1:34" x14ac:dyDescent="0.25">
      <c r="A305" s="73" t="str">
        <f>IF(SalCommune[[#This Row],[Statut]]="","",IF(ISNA(VLOOKUP(SalCommune[[#This Row],[Statut]],'Grille communale'!$B$3:$B$5,1,FALSE))=TRUE,"Veuillez choisir le statut parmis la liste déroulante",""))</f>
        <v/>
      </c>
      <c r="B305" s="8"/>
      <c r="C305" s="8"/>
      <c r="D305" s="8"/>
      <c r="E305" s="21"/>
      <c r="F305" s="8"/>
      <c r="G305" s="8"/>
      <c r="H305" s="9"/>
      <c r="I305" s="9"/>
      <c r="J305" s="9"/>
      <c r="K305" s="10"/>
      <c r="L305" s="10"/>
      <c r="M305" s="9"/>
      <c r="N305" s="9"/>
      <c r="O305" s="9"/>
      <c r="P305"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05" s="9"/>
      <c r="R305" s="9"/>
      <c r="S305" s="38"/>
      <c r="T305" s="38"/>
      <c r="U305" s="38"/>
      <c r="V305" s="38"/>
      <c r="W305" s="38"/>
      <c r="X305" s="67" t="str">
        <f>IF(COUNTA(SalCommune[[#This Row],[N°]:[heures annuelles
selon contrat(s)]])=0,"",SalCommune[[#This Row],[Brut]]+SalCommune[[#This Row],[Autres Primes]]+SalCommune[[#This Row],[Part patronale]]-ABS(SalCommune[[#This Row],[Remboursement Mutualité]])-ABS(SalCommune[[#This Row],[Remboursement
Autres]]))</f>
        <v/>
      </c>
      <c r="Y305" s="38"/>
      <c r="Z305"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05" s="8"/>
      <c r="AB305" s="64"/>
      <c r="AC305"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05"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05" s="505"/>
      <c r="AF305" s="187"/>
      <c r="AG305" s="200" t="str">
        <f>IF(COUNTA(SalCommune[[#This Row],[N°]:[heures annuelles
selon contrat(s)]])=0,"",REVEX!$E$9)</f>
        <v/>
      </c>
      <c r="AH305" s="73" t="str">
        <f>IF(SalCommune[[#This Row],[Allocations fonctions]]="","",IF(ISNA(VLOOKUP(SalCommune[[#This Row],[Allocations fonctions]],DROPDOWN[Dropdown82],1,FALSE))=TRUE,"&lt;-- Veuillez choisir l'allocation parmis la liste déroulante.",""))</f>
        <v/>
      </c>
    </row>
    <row r="306" spans="1:34" x14ac:dyDescent="0.25">
      <c r="A306" s="73" t="str">
        <f>IF(SalCommune[[#This Row],[Statut]]="","",IF(ISNA(VLOOKUP(SalCommune[[#This Row],[Statut]],'Grille communale'!$B$3:$B$5,1,FALSE))=TRUE,"Veuillez choisir le statut parmis la liste déroulante",""))</f>
        <v/>
      </c>
      <c r="B306" s="8"/>
      <c r="C306" s="8"/>
      <c r="D306" s="8"/>
      <c r="E306" s="21"/>
      <c r="F306" s="8"/>
      <c r="G306" s="8"/>
      <c r="H306" s="9"/>
      <c r="I306" s="9"/>
      <c r="J306" s="9"/>
      <c r="K306" s="10"/>
      <c r="L306" s="10"/>
      <c r="M306" s="9"/>
      <c r="N306" s="9"/>
      <c r="O306" s="9"/>
      <c r="P306"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06" s="9"/>
      <c r="R306" s="9"/>
      <c r="S306" s="38"/>
      <c r="T306" s="38"/>
      <c r="U306" s="38"/>
      <c r="V306" s="38"/>
      <c r="W306" s="38"/>
      <c r="X306" s="67" t="str">
        <f>IF(COUNTA(SalCommune[[#This Row],[N°]:[heures annuelles
selon contrat(s)]])=0,"",SalCommune[[#This Row],[Brut]]+SalCommune[[#This Row],[Autres Primes]]+SalCommune[[#This Row],[Part patronale]]-ABS(SalCommune[[#This Row],[Remboursement Mutualité]])-ABS(SalCommune[[#This Row],[Remboursement
Autres]]))</f>
        <v/>
      </c>
      <c r="Y306" s="38"/>
      <c r="Z306"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06" s="8"/>
      <c r="AB306" s="64"/>
      <c r="AC306"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06"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06" s="505"/>
      <c r="AF306" s="187"/>
      <c r="AG306" s="200" t="str">
        <f>IF(COUNTA(SalCommune[[#This Row],[N°]:[heures annuelles
selon contrat(s)]])=0,"",REVEX!$E$9)</f>
        <v/>
      </c>
      <c r="AH306" s="73" t="str">
        <f>IF(SalCommune[[#This Row],[Allocations fonctions]]="","",IF(ISNA(VLOOKUP(SalCommune[[#This Row],[Allocations fonctions]],DROPDOWN[Dropdown82],1,FALSE))=TRUE,"&lt;-- Veuillez choisir l'allocation parmis la liste déroulante.",""))</f>
        <v/>
      </c>
    </row>
    <row r="307" spans="1:34" x14ac:dyDescent="0.25">
      <c r="A307" s="73" t="str">
        <f>IF(SalCommune[[#This Row],[Statut]]="","",IF(ISNA(VLOOKUP(SalCommune[[#This Row],[Statut]],'Grille communale'!$B$3:$B$5,1,FALSE))=TRUE,"Veuillez choisir le statut parmis la liste déroulante",""))</f>
        <v/>
      </c>
      <c r="B307" s="8"/>
      <c r="C307" s="8"/>
      <c r="D307" s="8"/>
      <c r="E307" s="21"/>
      <c r="F307" s="8"/>
      <c r="G307" s="8"/>
      <c r="H307" s="9"/>
      <c r="I307" s="9"/>
      <c r="J307" s="9"/>
      <c r="K307" s="10"/>
      <c r="L307" s="10"/>
      <c r="M307" s="9"/>
      <c r="N307" s="9"/>
      <c r="O307" s="9"/>
      <c r="P307"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07" s="9"/>
      <c r="R307" s="9"/>
      <c r="S307" s="38"/>
      <c r="T307" s="38"/>
      <c r="U307" s="38"/>
      <c r="V307" s="38"/>
      <c r="W307" s="38"/>
      <c r="X307" s="67" t="str">
        <f>IF(COUNTA(SalCommune[[#This Row],[N°]:[heures annuelles
selon contrat(s)]])=0,"",SalCommune[[#This Row],[Brut]]+SalCommune[[#This Row],[Autres Primes]]+SalCommune[[#This Row],[Part patronale]]-ABS(SalCommune[[#This Row],[Remboursement Mutualité]])-ABS(SalCommune[[#This Row],[Remboursement
Autres]]))</f>
        <v/>
      </c>
      <c r="Y307" s="38"/>
      <c r="Z307"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07" s="8"/>
      <c r="AB307" s="64"/>
      <c r="AC307"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07"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07" s="505"/>
      <c r="AF307" s="187"/>
      <c r="AG307" s="200" t="str">
        <f>IF(COUNTA(SalCommune[[#This Row],[N°]:[heures annuelles
selon contrat(s)]])=0,"",REVEX!$E$9)</f>
        <v/>
      </c>
      <c r="AH307" s="73" t="str">
        <f>IF(SalCommune[[#This Row],[Allocations fonctions]]="","",IF(ISNA(VLOOKUP(SalCommune[[#This Row],[Allocations fonctions]],DROPDOWN[Dropdown82],1,FALSE))=TRUE,"&lt;-- Veuillez choisir l'allocation parmis la liste déroulante.",""))</f>
        <v/>
      </c>
    </row>
    <row r="308" spans="1:34" x14ac:dyDescent="0.25">
      <c r="A308" s="73" t="str">
        <f>IF(SalCommune[[#This Row],[Statut]]="","",IF(ISNA(VLOOKUP(SalCommune[[#This Row],[Statut]],'Grille communale'!$B$3:$B$5,1,FALSE))=TRUE,"Veuillez choisir le statut parmis la liste déroulante",""))</f>
        <v/>
      </c>
      <c r="B308" s="8"/>
      <c r="C308" s="8"/>
      <c r="D308" s="8"/>
      <c r="E308" s="21"/>
      <c r="F308" s="8"/>
      <c r="G308" s="8"/>
      <c r="H308" s="9"/>
      <c r="I308" s="9"/>
      <c r="J308" s="9"/>
      <c r="K308" s="10"/>
      <c r="L308" s="10"/>
      <c r="M308" s="9"/>
      <c r="N308" s="9"/>
      <c r="O308" s="9"/>
      <c r="P308"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08" s="9"/>
      <c r="R308" s="9"/>
      <c r="S308" s="38"/>
      <c r="T308" s="38"/>
      <c r="U308" s="38"/>
      <c r="V308" s="38"/>
      <c r="W308" s="38"/>
      <c r="X308" s="67" t="str">
        <f>IF(COUNTA(SalCommune[[#This Row],[N°]:[heures annuelles
selon contrat(s)]])=0,"",SalCommune[[#This Row],[Brut]]+SalCommune[[#This Row],[Autres Primes]]+SalCommune[[#This Row],[Part patronale]]-ABS(SalCommune[[#This Row],[Remboursement Mutualité]])-ABS(SalCommune[[#This Row],[Remboursement
Autres]]))</f>
        <v/>
      </c>
      <c r="Y308" s="38"/>
      <c r="Z308"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08" s="8"/>
      <c r="AB308" s="64"/>
      <c r="AC308"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08"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08" s="505"/>
      <c r="AF308" s="187"/>
      <c r="AG308" s="200" t="str">
        <f>IF(COUNTA(SalCommune[[#This Row],[N°]:[heures annuelles
selon contrat(s)]])=0,"",REVEX!$E$9)</f>
        <v/>
      </c>
      <c r="AH308" s="73" t="str">
        <f>IF(SalCommune[[#This Row],[Allocations fonctions]]="","",IF(ISNA(VLOOKUP(SalCommune[[#This Row],[Allocations fonctions]],DROPDOWN[Dropdown82],1,FALSE))=TRUE,"&lt;-- Veuillez choisir l'allocation parmis la liste déroulante.",""))</f>
        <v/>
      </c>
    </row>
    <row r="309" spans="1:34" x14ac:dyDescent="0.25">
      <c r="A309" s="73" t="str">
        <f>IF(SalCommune[[#This Row],[Statut]]="","",IF(ISNA(VLOOKUP(SalCommune[[#This Row],[Statut]],'Grille communale'!$B$3:$B$5,1,FALSE))=TRUE,"Veuillez choisir le statut parmis la liste déroulante",""))</f>
        <v/>
      </c>
      <c r="B309" s="8"/>
      <c r="C309" s="8"/>
      <c r="D309" s="8"/>
      <c r="E309" s="21"/>
      <c r="F309" s="8"/>
      <c r="G309" s="8"/>
      <c r="H309" s="9"/>
      <c r="I309" s="9"/>
      <c r="J309" s="9"/>
      <c r="K309" s="10"/>
      <c r="L309" s="10"/>
      <c r="M309" s="9"/>
      <c r="N309" s="9"/>
      <c r="O309" s="9"/>
      <c r="P309"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09" s="9"/>
      <c r="R309" s="9"/>
      <c r="S309" s="38"/>
      <c r="T309" s="38"/>
      <c r="U309" s="38"/>
      <c r="V309" s="38"/>
      <c r="W309" s="38"/>
      <c r="X309" s="67" t="str">
        <f>IF(COUNTA(SalCommune[[#This Row],[N°]:[heures annuelles
selon contrat(s)]])=0,"",SalCommune[[#This Row],[Brut]]+SalCommune[[#This Row],[Autres Primes]]+SalCommune[[#This Row],[Part patronale]]-ABS(SalCommune[[#This Row],[Remboursement Mutualité]])-ABS(SalCommune[[#This Row],[Remboursement
Autres]]))</f>
        <v/>
      </c>
      <c r="Y309" s="38"/>
      <c r="Z309"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09" s="8"/>
      <c r="AB309" s="64"/>
      <c r="AC309"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09"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09" s="505"/>
      <c r="AF309" s="187"/>
      <c r="AG309" s="200" t="str">
        <f>IF(COUNTA(SalCommune[[#This Row],[N°]:[heures annuelles
selon contrat(s)]])=0,"",REVEX!$E$9)</f>
        <v/>
      </c>
      <c r="AH309" s="73" t="str">
        <f>IF(SalCommune[[#This Row],[Allocations fonctions]]="","",IF(ISNA(VLOOKUP(SalCommune[[#This Row],[Allocations fonctions]],DROPDOWN[Dropdown82],1,FALSE))=TRUE,"&lt;-- Veuillez choisir l'allocation parmis la liste déroulante.",""))</f>
        <v/>
      </c>
    </row>
    <row r="310" spans="1:34" x14ac:dyDescent="0.25">
      <c r="A310" s="73" t="str">
        <f>IF(SalCommune[[#This Row],[Statut]]="","",IF(ISNA(VLOOKUP(SalCommune[[#This Row],[Statut]],'Grille communale'!$B$3:$B$5,1,FALSE))=TRUE,"Veuillez choisir le statut parmis la liste déroulante",""))</f>
        <v/>
      </c>
      <c r="B310" s="8"/>
      <c r="C310" s="8"/>
      <c r="D310" s="8"/>
      <c r="E310" s="21"/>
      <c r="F310" s="8"/>
      <c r="G310" s="8"/>
      <c r="H310" s="9"/>
      <c r="I310" s="9"/>
      <c r="J310" s="9"/>
      <c r="K310" s="10"/>
      <c r="L310" s="10"/>
      <c r="M310" s="9"/>
      <c r="N310" s="9"/>
      <c r="O310" s="9"/>
      <c r="P310"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10" s="9"/>
      <c r="R310" s="9"/>
      <c r="S310" s="38"/>
      <c r="T310" s="38"/>
      <c r="U310" s="38"/>
      <c r="V310" s="38"/>
      <c r="W310" s="38"/>
      <c r="X310" s="67" t="str">
        <f>IF(COUNTA(SalCommune[[#This Row],[N°]:[heures annuelles
selon contrat(s)]])=0,"",SalCommune[[#This Row],[Brut]]+SalCommune[[#This Row],[Autres Primes]]+SalCommune[[#This Row],[Part patronale]]-ABS(SalCommune[[#This Row],[Remboursement Mutualité]])-ABS(SalCommune[[#This Row],[Remboursement
Autres]]))</f>
        <v/>
      </c>
      <c r="Y310" s="38"/>
      <c r="Z310"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10" s="8"/>
      <c r="AB310" s="64"/>
      <c r="AC310"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10"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10" s="505"/>
      <c r="AF310" s="187"/>
      <c r="AG310" s="200" t="str">
        <f>IF(COUNTA(SalCommune[[#This Row],[N°]:[heures annuelles
selon contrat(s)]])=0,"",REVEX!$E$9)</f>
        <v/>
      </c>
      <c r="AH310" s="73" t="str">
        <f>IF(SalCommune[[#This Row],[Allocations fonctions]]="","",IF(ISNA(VLOOKUP(SalCommune[[#This Row],[Allocations fonctions]],DROPDOWN[Dropdown82],1,FALSE))=TRUE,"&lt;-- Veuillez choisir l'allocation parmis la liste déroulante.",""))</f>
        <v/>
      </c>
    </row>
    <row r="311" spans="1:34" x14ac:dyDescent="0.25">
      <c r="A311" s="73" t="str">
        <f>IF(SalCommune[[#This Row],[Statut]]="","",IF(ISNA(VLOOKUP(SalCommune[[#This Row],[Statut]],'Grille communale'!$B$3:$B$5,1,FALSE))=TRUE,"Veuillez choisir le statut parmis la liste déroulante",""))</f>
        <v/>
      </c>
      <c r="B311" s="8"/>
      <c r="C311" s="8"/>
      <c r="D311" s="8"/>
      <c r="E311" s="21"/>
      <c r="F311" s="8"/>
      <c r="G311" s="8"/>
      <c r="H311" s="9"/>
      <c r="I311" s="9"/>
      <c r="J311" s="9"/>
      <c r="K311" s="10"/>
      <c r="L311" s="10"/>
      <c r="M311" s="9"/>
      <c r="N311" s="9"/>
      <c r="O311" s="9"/>
      <c r="P311"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11" s="9"/>
      <c r="R311" s="9"/>
      <c r="S311" s="38"/>
      <c r="T311" s="38"/>
      <c r="U311" s="38"/>
      <c r="V311" s="38"/>
      <c r="W311" s="38"/>
      <c r="X311" s="67" t="str">
        <f>IF(COUNTA(SalCommune[[#This Row],[N°]:[heures annuelles
selon contrat(s)]])=0,"",SalCommune[[#This Row],[Brut]]+SalCommune[[#This Row],[Autres Primes]]+SalCommune[[#This Row],[Part patronale]]-ABS(SalCommune[[#This Row],[Remboursement Mutualité]])-ABS(SalCommune[[#This Row],[Remboursement
Autres]]))</f>
        <v/>
      </c>
      <c r="Y311" s="38"/>
      <c r="Z311"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11" s="8"/>
      <c r="AB311" s="64"/>
      <c r="AC311"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11"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11" s="505"/>
      <c r="AF311" s="187"/>
      <c r="AG311" s="200" t="str">
        <f>IF(COUNTA(SalCommune[[#This Row],[N°]:[heures annuelles
selon contrat(s)]])=0,"",REVEX!$E$9)</f>
        <v/>
      </c>
      <c r="AH311" s="73" t="str">
        <f>IF(SalCommune[[#This Row],[Allocations fonctions]]="","",IF(ISNA(VLOOKUP(SalCommune[[#This Row],[Allocations fonctions]],DROPDOWN[Dropdown82],1,FALSE))=TRUE,"&lt;-- Veuillez choisir l'allocation parmis la liste déroulante.",""))</f>
        <v/>
      </c>
    </row>
    <row r="312" spans="1:34" x14ac:dyDescent="0.25">
      <c r="A312" s="73" t="str">
        <f>IF(SalCommune[[#This Row],[Statut]]="","",IF(ISNA(VLOOKUP(SalCommune[[#This Row],[Statut]],'Grille communale'!$B$3:$B$5,1,FALSE))=TRUE,"Veuillez choisir le statut parmis la liste déroulante",""))</f>
        <v/>
      </c>
      <c r="B312" s="8"/>
      <c r="C312" s="8"/>
      <c r="D312" s="8"/>
      <c r="E312" s="21"/>
      <c r="F312" s="8"/>
      <c r="G312" s="8"/>
      <c r="H312" s="9"/>
      <c r="I312" s="9"/>
      <c r="J312" s="9"/>
      <c r="K312" s="10"/>
      <c r="L312" s="10"/>
      <c r="M312" s="9"/>
      <c r="N312" s="9"/>
      <c r="O312" s="9"/>
      <c r="P312"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12" s="9"/>
      <c r="R312" s="9"/>
      <c r="S312" s="38"/>
      <c r="T312" s="38"/>
      <c r="U312" s="38"/>
      <c r="V312" s="38"/>
      <c r="W312" s="38"/>
      <c r="X312" s="67" t="str">
        <f>IF(COUNTA(SalCommune[[#This Row],[N°]:[heures annuelles
selon contrat(s)]])=0,"",SalCommune[[#This Row],[Brut]]+SalCommune[[#This Row],[Autres Primes]]+SalCommune[[#This Row],[Part patronale]]-ABS(SalCommune[[#This Row],[Remboursement Mutualité]])-ABS(SalCommune[[#This Row],[Remboursement
Autres]]))</f>
        <v/>
      </c>
      <c r="Y312" s="38"/>
      <c r="Z312"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12" s="8"/>
      <c r="AB312" s="64"/>
      <c r="AC312"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12"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12" s="505"/>
      <c r="AF312" s="187"/>
      <c r="AG312" s="200" t="str">
        <f>IF(COUNTA(SalCommune[[#This Row],[N°]:[heures annuelles
selon contrat(s)]])=0,"",REVEX!$E$9)</f>
        <v/>
      </c>
      <c r="AH312" s="73" t="str">
        <f>IF(SalCommune[[#This Row],[Allocations fonctions]]="","",IF(ISNA(VLOOKUP(SalCommune[[#This Row],[Allocations fonctions]],DROPDOWN[Dropdown82],1,FALSE))=TRUE,"&lt;-- Veuillez choisir l'allocation parmis la liste déroulante.",""))</f>
        <v/>
      </c>
    </row>
    <row r="313" spans="1:34" x14ac:dyDescent="0.25">
      <c r="A313" s="73" t="str">
        <f>IF(SalCommune[[#This Row],[Statut]]="","",IF(ISNA(VLOOKUP(SalCommune[[#This Row],[Statut]],'Grille communale'!$B$3:$B$5,1,FALSE))=TRUE,"Veuillez choisir le statut parmis la liste déroulante",""))</f>
        <v/>
      </c>
      <c r="B313" s="8"/>
      <c r="C313" s="8"/>
      <c r="D313" s="8"/>
      <c r="E313" s="21"/>
      <c r="F313" s="8"/>
      <c r="G313" s="8"/>
      <c r="H313" s="9"/>
      <c r="I313" s="9"/>
      <c r="J313" s="9"/>
      <c r="K313" s="10"/>
      <c r="L313" s="10"/>
      <c r="M313" s="9"/>
      <c r="N313" s="9"/>
      <c r="O313" s="9"/>
      <c r="P313"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13" s="9"/>
      <c r="R313" s="9"/>
      <c r="S313" s="38"/>
      <c r="T313" s="38"/>
      <c r="U313" s="38"/>
      <c r="V313" s="38"/>
      <c r="W313" s="38"/>
      <c r="X313" s="67" t="str">
        <f>IF(COUNTA(SalCommune[[#This Row],[N°]:[heures annuelles
selon contrat(s)]])=0,"",SalCommune[[#This Row],[Brut]]+SalCommune[[#This Row],[Autres Primes]]+SalCommune[[#This Row],[Part patronale]]-ABS(SalCommune[[#This Row],[Remboursement Mutualité]])-ABS(SalCommune[[#This Row],[Remboursement
Autres]]))</f>
        <v/>
      </c>
      <c r="Y313" s="38"/>
      <c r="Z313"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13" s="8"/>
      <c r="AB313" s="64"/>
      <c r="AC313"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13"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13" s="505"/>
      <c r="AF313" s="187"/>
      <c r="AG313" s="200" t="str">
        <f>IF(COUNTA(SalCommune[[#This Row],[N°]:[heures annuelles
selon contrat(s)]])=0,"",REVEX!$E$9)</f>
        <v/>
      </c>
      <c r="AH313" s="73" t="str">
        <f>IF(SalCommune[[#This Row],[Allocations fonctions]]="","",IF(ISNA(VLOOKUP(SalCommune[[#This Row],[Allocations fonctions]],DROPDOWN[Dropdown82],1,FALSE))=TRUE,"&lt;-- Veuillez choisir l'allocation parmis la liste déroulante.",""))</f>
        <v/>
      </c>
    </row>
    <row r="314" spans="1:34" x14ac:dyDescent="0.25">
      <c r="A314" s="73" t="str">
        <f>IF(SalCommune[[#This Row],[Statut]]="","",IF(ISNA(VLOOKUP(SalCommune[[#This Row],[Statut]],'Grille communale'!$B$3:$B$5,1,FALSE))=TRUE,"Veuillez choisir le statut parmis la liste déroulante",""))</f>
        <v/>
      </c>
      <c r="B314" s="8"/>
      <c r="C314" s="8"/>
      <c r="D314" s="8"/>
      <c r="E314" s="21"/>
      <c r="F314" s="8"/>
      <c r="G314" s="8"/>
      <c r="H314" s="9"/>
      <c r="I314" s="9"/>
      <c r="J314" s="9"/>
      <c r="K314" s="10"/>
      <c r="L314" s="10"/>
      <c r="M314" s="9"/>
      <c r="N314" s="9"/>
      <c r="O314" s="9"/>
      <c r="P314"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14" s="9"/>
      <c r="R314" s="9"/>
      <c r="S314" s="38"/>
      <c r="T314" s="38"/>
      <c r="U314" s="38"/>
      <c r="V314" s="38"/>
      <c r="W314" s="38"/>
      <c r="X314" s="67" t="str">
        <f>IF(COUNTA(SalCommune[[#This Row],[N°]:[heures annuelles
selon contrat(s)]])=0,"",SalCommune[[#This Row],[Brut]]+SalCommune[[#This Row],[Autres Primes]]+SalCommune[[#This Row],[Part patronale]]-ABS(SalCommune[[#This Row],[Remboursement Mutualité]])-ABS(SalCommune[[#This Row],[Remboursement
Autres]]))</f>
        <v/>
      </c>
      <c r="Y314" s="38"/>
      <c r="Z314"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14" s="8"/>
      <c r="AB314" s="64"/>
      <c r="AC314"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14"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14" s="505"/>
      <c r="AF314" s="187"/>
      <c r="AG314" s="200" t="str">
        <f>IF(COUNTA(SalCommune[[#This Row],[N°]:[heures annuelles
selon contrat(s)]])=0,"",REVEX!$E$9)</f>
        <v/>
      </c>
      <c r="AH314" s="73" t="str">
        <f>IF(SalCommune[[#This Row],[Allocations fonctions]]="","",IF(ISNA(VLOOKUP(SalCommune[[#This Row],[Allocations fonctions]],DROPDOWN[Dropdown82],1,FALSE))=TRUE,"&lt;-- Veuillez choisir l'allocation parmis la liste déroulante.",""))</f>
        <v/>
      </c>
    </row>
    <row r="315" spans="1:34" x14ac:dyDescent="0.25">
      <c r="A315" s="73" t="str">
        <f>IF(SalCommune[[#This Row],[Statut]]="","",IF(ISNA(VLOOKUP(SalCommune[[#This Row],[Statut]],'Grille communale'!$B$3:$B$5,1,FALSE))=TRUE,"Veuillez choisir le statut parmis la liste déroulante",""))</f>
        <v/>
      </c>
      <c r="B315" s="8"/>
      <c r="C315" s="8"/>
      <c r="D315" s="8"/>
      <c r="E315" s="21"/>
      <c r="F315" s="8"/>
      <c r="G315" s="8"/>
      <c r="H315" s="9"/>
      <c r="I315" s="9"/>
      <c r="J315" s="9"/>
      <c r="K315" s="10"/>
      <c r="L315" s="10"/>
      <c r="M315" s="9"/>
      <c r="N315" s="9"/>
      <c r="O315" s="9"/>
      <c r="P315"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15" s="9"/>
      <c r="R315" s="9"/>
      <c r="S315" s="38"/>
      <c r="T315" s="38"/>
      <c r="U315" s="38"/>
      <c r="V315" s="38"/>
      <c r="W315" s="38"/>
      <c r="X315" s="67" t="str">
        <f>IF(COUNTA(SalCommune[[#This Row],[N°]:[heures annuelles
selon contrat(s)]])=0,"",SalCommune[[#This Row],[Brut]]+SalCommune[[#This Row],[Autres Primes]]+SalCommune[[#This Row],[Part patronale]]-ABS(SalCommune[[#This Row],[Remboursement Mutualité]])-ABS(SalCommune[[#This Row],[Remboursement
Autres]]))</f>
        <v/>
      </c>
      <c r="Y315" s="38"/>
      <c r="Z315"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15" s="8"/>
      <c r="AB315" s="64"/>
      <c r="AC315"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15"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15" s="505"/>
      <c r="AF315" s="187"/>
      <c r="AG315" s="200" t="str">
        <f>IF(COUNTA(SalCommune[[#This Row],[N°]:[heures annuelles
selon contrat(s)]])=0,"",REVEX!$E$9)</f>
        <v/>
      </c>
      <c r="AH315" s="73" t="str">
        <f>IF(SalCommune[[#This Row],[Allocations fonctions]]="","",IF(ISNA(VLOOKUP(SalCommune[[#This Row],[Allocations fonctions]],DROPDOWN[Dropdown82],1,FALSE))=TRUE,"&lt;-- Veuillez choisir l'allocation parmis la liste déroulante.",""))</f>
        <v/>
      </c>
    </row>
    <row r="316" spans="1:34" x14ac:dyDescent="0.25">
      <c r="A316" s="73" t="str">
        <f>IF(SalCommune[[#This Row],[Statut]]="","",IF(ISNA(VLOOKUP(SalCommune[[#This Row],[Statut]],'Grille communale'!$B$3:$B$5,1,FALSE))=TRUE,"Veuillez choisir le statut parmis la liste déroulante",""))</f>
        <v/>
      </c>
      <c r="B316" s="8"/>
      <c r="C316" s="8"/>
      <c r="D316" s="8"/>
      <c r="E316" s="21"/>
      <c r="F316" s="8"/>
      <c r="G316" s="8"/>
      <c r="H316" s="9"/>
      <c r="I316" s="9"/>
      <c r="J316" s="9"/>
      <c r="K316" s="10"/>
      <c r="L316" s="10"/>
      <c r="M316" s="9"/>
      <c r="N316" s="9"/>
      <c r="O316" s="9"/>
      <c r="P316"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16" s="9"/>
      <c r="R316" s="9"/>
      <c r="S316" s="38"/>
      <c r="T316" s="38"/>
      <c r="U316" s="38"/>
      <c r="V316" s="38"/>
      <c r="W316" s="38"/>
      <c r="X316" s="67" t="str">
        <f>IF(COUNTA(SalCommune[[#This Row],[N°]:[heures annuelles
selon contrat(s)]])=0,"",SalCommune[[#This Row],[Brut]]+SalCommune[[#This Row],[Autres Primes]]+SalCommune[[#This Row],[Part patronale]]-ABS(SalCommune[[#This Row],[Remboursement Mutualité]])-ABS(SalCommune[[#This Row],[Remboursement
Autres]]))</f>
        <v/>
      </c>
      <c r="Y316" s="38"/>
      <c r="Z316"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16" s="8"/>
      <c r="AB316" s="64"/>
      <c r="AC316"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16"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16" s="505"/>
      <c r="AF316" s="187"/>
      <c r="AG316" s="200" t="str">
        <f>IF(COUNTA(SalCommune[[#This Row],[N°]:[heures annuelles
selon contrat(s)]])=0,"",REVEX!$E$9)</f>
        <v/>
      </c>
      <c r="AH316" s="73" t="str">
        <f>IF(SalCommune[[#This Row],[Allocations fonctions]]="","",IF(ISNA(VLOOKUP(SalCommune[[#This Row],[Allocations fonctions]],DROPDOWN[Dropdown82],1,FALSE))=TRUE,"&lt;-- Veuillez choisir l'allocation parmis la liste déroulante.",""))</f>
        <v/>
      </c>
    </row>
    <row r="317" spans="1:34" x14ac:dyDescent="0.25">
      <c r="A317" s="73" t="str">
        <f>IF(SalCommune[[#This Row],[Statut]]="","",IF(ISNA(VLOOKUP(SalCommune[[#This Row],[Statut]],'Grille communale'!$B$3:$B$5,1,FALSE))=TRUE,"Veuillez choisir le statut parmis la liste déroulante",""))</f>
        <v/>
      </c>
      <c r="B317" s="8"/>
      <c r="C317" s="8"/>
      <c r="D317" s="8"/>
      <c r="E317" s="21"/>
      <c r="F317" s="8"/>
      <c r="G317" s="8"/>
      <c r="H317" s="9"/>
      <c r="I317" s="9"/>
      <c r="J317" s="9"/>
      <c r="K317" s="10"/>
      <c r="L317" s="10"/>
      <c r="M317" s="9"/>
      <c r="N317" s="9"/>
      <c r="O317" s="9"/>
      <c r="P317"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17" s="9"/>
      <c r="R317" s="9"/>
      <c r="S317" s="38"/>
      <c r="T317" s="38"/>
      <c r="U317" s="38"/>
      <c r="V317" s="38"/>
      <c r="W317" s="38"/>
      <c r="X317" s="67" t="str">
        <f>IF(COUNTA(SalCommune[[#This Row],[N°]:[heures annuelles
selon contrat(s)]])=0,"",SalCommune[[#This Row],[Brut]]+SalCommune[[#This Row],[Autres Primes]]+SalCommune[[#This Row],[Part patronale]]-ABS(SalCommune[[#This Row],[Remboursement Mutualité]])-ABS(SalCommune[[#This Row],[Remboursement
Autres]]))</f>
        <v/>
      </c>
      <c r="Y317" s="38"/>
      <c r="Z317"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17" s="8"/>
      <c r="AB317" s="64"/>
      <c r="AC317"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17"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17" s="505"/>
      <c r="AF317" s="187"/>
      <c r="AG317" s="200" t="str">
        <f>IF(COUNTA(SalCommune[[#This Row],[N°]:[heures annuelles
selon contrat(s)]])=0,"",REVEX!$E$9)</f>
        <v/>
      </c>
      <c r="AH317" s="73" t="str">
        <f>IF(SalCommune[[#This Row],[Allocations fonctions]]="","",IF(ISNA(VLOOKUP(SalCommune[[#This Row],[Allocations fonctions]],DROPDOWN[Dropdown82],1,FALSE))=TRUE,"&lt;-- Veuillez choisir l'allocation parmis la liste déroulante.",""))</f>
        <v/>
      </c>
    </row>
    <row r="318" spans="1:34" x14ac:dyDescent="0.25">
      <c r="A318" s="73" t="str">
        <f>IF(SalCommune[[#This Row],[Statut]]="","",IF(ISNA(VLOOKUP(SalCommune[[#This Row],[Statut]],'Grille communale'!$B$3:$B$5,1,FALSE))=TRUE,"Veuillez choisir le statut parmis la liste déroulante",""))</f>
        <v/>
      </c>
      <c r="B318" s="8"/>
      <c r="C318" s="8"/>
      <c r="D318" s="8"/>
      <c r="E318" s="21"/>
      <c r="F318" s="8"/>
      <c r="G318" s="8"/>
      <c r="H318" s="9"/>
      <c r="I318" s="9"/>
      <c r="J318" s="9"/>
      <c r="K318" s="10"/>
      <c r="L318" s="10"/>
      <c r="M318" s="9"/>
      <c r="N318" s="9"/>
      <c r="O318" s="9"/>
      <c r="P318"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18" s="9"/>
      <c r="R318" s="9"/>
      <c r="S318" s="38"/>
      <c r="T318" s="38"/>
      <c r="U318" s="38"/>
      <c r="V318" s="38"/>
      <c r="W318" s="38"/>
      <c r="X318" s="67" t="str">
        <f>IF(COUNTA(SalCommune[[#This Row],[N°]:[heures annuelles
selon contrat(s)]])=0,"",SalCommune[[#This Row],[Brut]]+SalCommune[[#This Row],[Autres Primes]]+SalCommune[[#This Row],[Part patronale]]-ABS(SalCommune[[#This Row],[Remboursement Mutualité]])-ABS(SalCommune[[#This Row],[Remboursement
Autres]]))</f>
        <v/>
      </c>
      <c r="Y318" s="38"/>
      <c r="Z318"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18" s="8"/>
      <c r="AB318" s="64"/>
      <c r="AC318"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18"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18" s="505"/>
      <c r="AF318" s="187"/>
      <c r="AG318" s="200" t="str">
        <f>IF(COUNTA(SalCommune[[#This Row],[N°]:[heures annuelles
selon contrat(s)]])=0,"",REVEX!$E$9)</f>
        <v/>
      </c>
      <c r="AH318" s="73" t="str">
        <f>IF(SalCommune[[#This Row],[Allocations fonctions]]="","",IF(ISNA(VLOOKUP(SalCommune[[#This Row],[Allocations fonctions]],DROPDOWN[Dropdown82],1,FALSE))=TRUE,"&lt;-- Veuillez choisir l'allocation parmis la liste déroulante.",""))</f>
        <v/>
      </c>
    </row>
    <row r="319" spans="1:34" x14ac:dyDescent="0.25">
      <c r="A319" s="73" t="str">
        <f>IF(SalCommune[[#This Row],[Statut]]="","",IF(ISNA(VLOOKUP(SalCommune[[#This Row],[Statut]],'Grille communale'!$B$3:$B$5,1,FALSE))=TRUE,"Veuillez choisir le statut parmis la liste déroulante",""))</f>
        <v/>
      </c>
      <c r="B319" s="8"/>
      <c r="C319" s="8"/>
      <c r="D319" s="8"/>
      <c r="E319" s="21"/>
      <c r="F319" s="8"/>
      <c r="G319" s="8"/>
      <c r="H319" s="9"/>
      <c r="I319" s="9"/>
      <c r="J319" s="9"/>
      <c r="K319" s="10"/>
      <c r="L319" s="10"/>
      <c r="M319" s="9"/>
      <c r="N319" s="9"/>
      <c r="O319" s="9"/>
      <c r="P319"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19" s="9"/>
      <c r="R319" s="9"/>
      <c r="S319" s="38"/>
      <c r="T319" s="38"/>
      <c r="U319" s="38"/>
      <c r="V319" s="38"/>
      <c r="W319" s="38"/>
      <c r="X319" s="67" t="str">
        <f>IF(COUNTA(SalCommune[[#This Row],[N°]:[heures annuelles
selon contrat(s)]])=0,"",SalCommune[[#This Row],[Brut]]+SalCommune[[#This Row],[Autres Primes]]+SalCommune[[#This Row],[Part patronale]]-ABS(SalCommune[[#This Row],[Remboursement Mutualité]])-ABS(SalCommune[[#This Row],[Remboursement
Autres]]))</f>
        <v/>
      </c>
      <c r="Y319" s="38"/>
      <c r="Z319"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19" s="8"/>
      <c r="AB319" s="64"/>
      <c r="AC319"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19"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19" s="505"/>
      <c r="AF319" s="187"/>
      <c r="AG319" s="200" t="str">
        <f>IF(COUNTA(SalCommune[[#This Row],[N°]:[heures annuelles
selon contrat(s)]])=0,"",REVEX!$E$9)</f>
        <v/>
      </c>
      <c r="AH319" s="73" t="str">
        <f>IF(SalCommune[[#This Row],[Allocations fonctions]]="","",IF(ISNA(VLOOKUP(SalCommune[[#This Row],[Allocations fonctions]],DROPDOWN[Dropdown82],1,FALSE))=TRUE,"&lt;-- Veuillez choisir l'allocation parmis la liste déroulante.",""))</f>
        <v/>
      </c>
    </row>
    <row r="320" spans="1:34" x14ac:dyDescent="0.25">
      <c r="A320" s="73" t="str">
        <f>IF(SalCommune[[#This Row],[Statut]]="","",IF(ISNA(VLOOKUP(SalCommune[[#This Row],[Statut]],'Grille communale'!$B$3:$B$5,1,FALSE))=TRUE,"Veuillez choisir le statut parmis la liste déroulante",""))</f>
        <v/>
      </c>
      <c r="B320" s="8"/>
      <c r="C320" s="8"/>
      <c r="D320" s="8"/>
      <c r="E320" s="21"/>
      <c r="F320" s="8"/>
      <c r="G320" s="8"/>
      <c r="H320" s="9"/>
      <c r="I320" s="9"/>
      <c r="J320" s="9"/>
      <c r="K320" s="10"/>
      <c r="L320" s="10"/>
      <c r="M320" s="9"/>
      <c r="N320" s="9"/>
      <c r="O320" s="9"/>
      <c r="P320"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20" s="9"/>
      <c r="R320" s="9"/>
      <c r="S320" s="38"/>
      <c r="T320" s="38"/>
      <c r="U320" s="38"/>
      <c r="V320" s="38"/>
      <c r="W320" s="38"/>
      <c r="X320" s="67" t="str">
        <f>IF(COUNTA(SalCommune[[#This Row],[N°]:[heures annuelles
selon contrat(s)]])=0,"",SalCommune[[#This Row],[Brut]]+SalCommune[[#This Row],[Autres Primes]]+SalCommune[[#This Row],[Part patronale]]-ABS(SalCommune[[#This Row],[Remboursement Mutualité]])-ABS(SalCommune[[#This Row],[Remboursement
Autres]]))</f>
        <v/>
      </c>
      <c r="Y320" s="38"/>
      <c r="Z320"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20" s="8"/>
      <c r="AB320" s="64"/>
      <c r="AC320"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20"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20" s="505"/>
      <c r="AF320" s="187"/>
      <c r="AG320" s="200" t="str">
        <f>IF(COUNTA(SalCommune[[#This Row],[N°]:[heures annuelles
selon contrat(s)]])=0,"",REVEX!$E$9)</f>
        <v/>
      </c>
      <c r="AH320" s="73" t="str">
        <f>IF(SalCommune[[#This Row],[Allocations fonctions]]="","",IF(ISNA(VLOOKUP(SalCommune[[#This Row],[Allocations fonctions]],DROPDOWN[Dropdown82],1,FALSE))=TRUE,"&lt;-- Veuillez choisir l'allocation parmis la liste déroulante.",""))</f>
        <v/>
      </c>
    </row>
    <row r="321" spans="1:34" x14ac:dyDescent="0.25">
      <c r="A321" s="73" t="str">
        <f>IF(SalCommune[[#This Row],[Statut]]="","",IF(ISNA(VLOOKUP(SalCommune[[#This Row],[Statut]],'Grille communale'!$B$3:$B$5,1,FALSE))=TRUE,"Veuillez choisir le statut parmis la liste déroulante",""))</f>
        <v/>
      </c>
      <c r="B321" s="8"/>
      <c r="C321" s="8"/>
      <c r="D321" s="8"/>
      <c r="E321" s="21"/>
      <c r="F321" s="8"/>
      <c r="G321" s="8"/>
      <c r="H321" s="9"/>
      <c r="I321" s="9"/>
      <c r="J321" s="9"/>
      <c r="K321" s="10"/>
      <c r="L321" s="10"/>
      <c r="M321" s="9"/>
      <c r="N321" s="9"/>
      <c r="O321" s="9"/>
      <c r="P321"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21" s="9"/>
      <c r="R321" s="9"/>
      <c r="S321" s="38"/>
      <c r="T321" s="38"/>
      <c r="U321" s="38"/>
      <c r="V321" s="38"/>
      <c r="W321" s="38"/>
      <c r="X321" s="67" t="str">
        <f>IF(COUNTA(SalCommune[[#This Row],[N°]:[heures annuelles
selon contrat(s)]])=0,"",SalCommune[[#This Row],[Brut]]+SalCommune[[#This Row],[Autres Primes]]+SalCommune[[#This Row],[Part patronale]]-ABS(SalCommune[[#This Row],[Remboursement Mutualité]])-ABS(SalCommune[[#This Row],[Remboursement
Autres]]))</f>
        <v/>
      </c>
      <c r="Y321" s="38"/>
      <c r="Z321"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21" s="8"/>
      <c r="AB321" s="64"/>
      <c r="AC321"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21"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21" s="505"/>
      <c r="AF321" s="187"/>
      <c r="AG321" s="200" t="str">
        <f>IF(COUNTA(SalCommune[[#This Row],[N°]:[heures annuelles
selon contrat(s)]])=0,"",REVEX!$E$9)</f>
        <v/>
      </c>
      <c r="AH321" s="73" t="str">
        <f>IF(SalCommune[[#This Row],[Allocations fonctions]]="","",IF(ISNA(VLOOKUP(SalCommune[[#This Row],[Allocations fonctions]],DROPDOWN[Dropdown82],1,FALSE))=TRUE,"&lt;-- Veuillez choisir l'allocation parmis la liste déroulante.",""))</f>
        <v/>
      </c>
    </row>
    <row r="322" spans="1:34" x14ac:dyDescent="0.25">
      <c r="A322" s="73" t="str">
        <f>IF(SalCommune[[#This Row],[Statut]]="","",IF(ISNA(VLOOKUP(SalCommune[[#This Row],[Statut]],'Grille communale'!$B$3:$B$5,1,FALSE))=TRUE,"Veuillez choisir le statut parmis la liste déroulante",""))</f>
        <v/>
      </c>
      <c r="B322" s="8"/>
      <c r="C322" s="8"/>
      <c r="D322" s="8"/>
      <c r="E322" s="21"/>
      <c r="F322" s="8"/>
      <c r="G322" s="8"/>
      <c r="H322" s="9"/>
      <c r="I322" s="9"/>
      <c r="J322" s="9"/>
      <c r="K322" s="10"/>
      <c r="L322" s="10"/>
      <c r="M322" s="9"/>
      <c r="N322" s="9"/>
      <c r="O322" s="9"/>
      <c r="P322"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22" s="9"/>
      <c r="R322" s="9"/>
      <c r="S322" s="38"/>
      <c r="T322" s="38"/>
      <c r="U322" s="38"/>
      <c r="V322" s="38"/>
      <c r="W322" s="38"/>
      <c r="X322" s="67" t="str">
        <f>IF(COUNTA(SalCommune[[#This Row],[N°]:[heures annuelles
selon contrat(s)]])=0,"",SalCommune[[#This Row],[Brut]]+SalCommune[[#This Row],[Autres Primes]]+SalCommune[[#This Row],[Part patronale]]-ABS(SalCommune[[#This Row],[Remboursement Mutualité]])-ABS(SalCommune[[#This Row],[Remboursement
Autres]]))</f>
        <v/>
      </c>
      <c r="Y322" s="38"/>
      <c r="Z322"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22" s="8"/>
      <c r="AB322" s="64"/>
      <c r="AC322"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22"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22" s="505"/>
      <c r="AF322" s="187"/>
      <c r="AG322" s="200" t="str">
        <f>IF(COUNTA(SalCommune[[#This Row],[N°]:[heures annuelles
selon contrat(s)]])=0,"",REVEX!$E$9)</f>
        <v/>
      </c>
      <c r="AH322" s="73" t="str">
        <f>IF(SalCommune[[#This Row],[Allocations fonctions]]="","",IF(ISNA(VLOOKUP(SalCommune[[#This Row],[Allocations fonctions]],DROPDOWN[Dropdown82],1,FALSE))=TRUE,"&lt;-- Veuillez choisir l'allocation parmis la liste déroulante.",""))</f>
        <v/>
      </c>
    </row>
    <row r="323" spans="1:34" x14ac:dyDescent="0.25">
      <c r="A323" s="73" t="str">
        <f>IF(SalCommune[[#This Row],[Statut]]="","",IF(ISNA(VLOOKUP(SalCommune[[#This Row],[Statut]],'Grille communale'!$B$3:$B$5,1,FALSE))=TRUE,"Veuillez choisir le statut parmis la liste déroulante",""))</f>
        <v/>
      </c>
      <c r="B323" s="8"/>
      <c r="C323" s="8"/>
      <c r="D323" s="8"/>
      <c r="E323" s="21"/>
      <c r="F323" s="8"/>
      <c r="G323" s="8"/>
      <c r="H323" s="9"/>
      <c r="I323" s="9"/>
      <c r="J323" s="9"/>
      <c r="K323" s="10"/>
      <c r="L323" s="10"/>
      <c r="M323" s="9"/>
      <c r="N323" s="9"/>
      <c r="O323" s="9"/>
      <c r="P323"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23" s="9"/>
      <c r="R323" s="9"/>
      <c r="S323" s="38"/>
      <c r="T323" s="38"/>
      <c r="U323" s="38"/>
      <c r="V323" s="38"/>
      <c r="W323" s="38"/>
      <c r="X323" s="67" t="str">
        <f>IF(COUNTA(SalCommune[[#This Row],[N°]:[heures annuelles
selon contrat(s)]])=0,"",SalCommune[[#This Row],[Brut]]+SalCommune[[#This Row],[Autres Primes]]+SalCommune[[#This Row],[Part patronale]]-ABS(SalCommune[[#This Row],[Remboursement Mutualité]])-ABS(SalCommune[[#This Row],[Remboursement
Autres]]))</f>
        <v/>
      </c>
      <c r="Y323" s="38"/>
      <c r="Z323"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23" s="8"/>
      <c r="AB323" s="64"/>
      <c r="AC323"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23"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23" s="505"/>
      <c r="AF323" s="187"/>
      <c r="AG323" s="200" t="str">
        <f>IF(COUNTA(SalCommune[[#This Row],[N°]:[heures annuelles
selon contrat(s)]])=0,"",REVEX!$E$9)</f>
        <v/>
      </c>
      <c r="AH323" s="73" t="str">
        <f>IF(SalCommune[[#This Row],[Allocations fonctions]]="","",IF(ISNA(VLOOKUP(SalCommune[[#This Row],[Allocations fonctions]],DROPDOWN[Dropdown82],1,FALSE))=TRUE,"&lt;-- Veuillez choisir l'allocation parmis la liste déroulante.",""))</f>
        <v/>
      </c>
    </row>
    <row r="324" spans="1:34" x14ac:dyDescent="0.25">
      <c r="A324" s="73" t="str">
        <f>IF(SalCommune[[#This Row],[Statut]]="","",IF(ISNA(VLOOKUP(SalCommune[[#This Row],[Statut]],'Grille communale'!$B$3:$B$5,1,FALSE))=TRUE,"Veuillez choisir le statut parmis la liste déroulante",""))</f>
        <v/>
      </c>
      <c r="B324" s="8"/>
      <c r="C324" s="8"/>
      <c r="D324" s="8"/>
      <c r="E324" s="21"/>
      <c r="F324" s="8"/>
      <c r="G324" s="8"/>
      <c r="H324" s="9"/>
      <c r="I324" s="9"/>
      <c r="J324" s="9"/>
      <c r="K324" s="10"/>
      <c r="L324" s="10"/>
      <c r="M324" s="9"/>
      <c r="N324" s="9"/>
      <c r="O324" s="9"/>
      <c r="P324"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24" s="9"/>
      <c r="R324" s="9"/>
      <c r="S324" s="38"/>
      <c r="T324" s="38"/>
      <c r="U324" s="38"/>
      <c r="V324" s="38"/>
      <c r="W324" s="38"/>
      <c r="X324" s="67" t="str">
        <f>IF(COUNTA(SalCommune[[#This Row],[N°]:[heures annuelles
selon contrat(s)]])=0,"",SalCommune[[#This Row],[Brut]]+SalCommune[[#This Row],[Autres Primes]]+SalCommune[[#This Row],[Part patronale]]-ABS(SalCommune[[#This Row],[Remboursement Mutualité]])-ABS(SalCommune[[#This Row],[Remboursement
Autres]]))</f>
        <v/>
      </c>
      <c r="Y324" s="38"/>
      <c r="Z324"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24" s="8"/>
      <c r="AB324" s="64"/>
      <c r="AC324"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24"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24" s="505"/>
      <c r="AF324" s="187"/>
      <c r="AG324" s="200" t="str">
        <f>IF(COUNTA(SalCommune[[#This Row],[N°]:[heures annuelles
selon contrat(s)]])=0,"",REVEX!$E$9)</f>
        <v/>
      </c>
      <c r="AH324" s="73" t="str">
        <f>IF(SalCommune[[#This Row],[Allocations fonctions]]="","",IF(ISNA(VLOOKUP(SalCommune[[#This Row],[Allocations fonctions]],DROPDOWN[Dropdown82],1,FALSE))=TRUE,"&lt;-- Veuillez choisir l'allocation parmis la liste déroulante.",""))</f>
        <v/>
      </c>
    </row>
    <row r="325" spans="1:34" x14ac:dyDescent="0.25">
      <c r="A325" s="73" t="str">
        <f>IF(SalCommune[[#This Row],[Statut]]="","",IF(ISNA(VLOOKUP(SalCommune[[#This Row],[Statut]],'Grille communale'!$B$3:$B$5,1,FALSE))=TRUE,"Veuillez choisir le statut parmis la liste déroulante",""))</f>
        <v/>
      </c>
      <c r="B325" s="8"/>
      <c r="C325" s="8"/>
      <c r="D325" s="8"/>
      <c r="E325" s="21"/>
      <c r="F325" s="8"/>
      <c r="G325" s="8"/>
      <c r="H325" s="9"/>
      <c r="I325" s="9"/>
      <c r="J325" s="9"/>
      <c r="K325" s="10"/>
      <c r="L325" s="10"/>
      <c r="M325" s="9"/>
      <c r="N325" s="9"/>
      <c r="O325" s="9"/>
      <c r="P325"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25" s="9"/>
      <c r="R325" s="9"/>
      <c r="S325" s="38"/>
      <c r="T325" s="38"/>
      <c r="U325" s="38"/>
      <c r="V325" s="38"/>
      <c r="W325" s="38"/>
      <c r="X325" s="67" t="str">
        <f>IF(COUNTA(SalCommune[[#This Row],[N°]:[heures annuelles
selon contrat(s)]])=0,"",SalCommune[[#This Row],[Brut]]+SalCommune[[#This Row],[Autres Primes]]+SalCommune[[#This Row],[Part patronale]]-ABS(SalCommune[[#This Row],[Remboursement Mutualité]])-ABS(SalCommune[[#This Row],[Remboursement
Autres]]))</f>
        <v/>
      </c>
      <c r="Y325" s="38"/>
      <c r="Z325"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25" s="8"/>
      <c r="AB325" s="64"/>
      <c r="AC325"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25"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25" s="505"/>
      <c r="AF325" s="187"/>
      <c r="AG325" s="200" t="str">
        <f>IF(COUNTA(SalCommune[[#This Row],[N°]:[heures annuelles
selon contrat(s)]])=0,"",REVEX!$E$9)</f>
        <v/>
      </c>
      <c r="AH325" s="73" t="str">
        <f>IF(SalCommune[[#This Row],[Allocations fonctions]]="","",IF(ISNA(VLOOKUP(SalCommune[[#This Row],[Allocations fonctions]],DROPDOWN[Dropdown82],1,FALSE))=TRUE,"&lt;-- Veuillez choisir l'allocation parmis la liste déroulante.",""))</f>
        <v/>
      </c>
    </row>
    <row r="326" spans="1:34" x14ac:dyDescent="0.25">
      <c r="A326" s="73" t="str">
        <f>IF(SalCommune[[#This Row],[Statut]]="","",IF(ISNA(VLOOKUP(SalCommune[[#This Row],[Statut]],'Grille communale'!$B$3:$B$5,1,FALSE))=TRUE,"Veuillez choisir le statut parmis la liste déroulante",""))</f>
        <v/>
      </c>
      <c r="B326" s="8"/>
      <c r="C326" s="8"/>
      <c r="D326" s="8"/>
      <c r="E326" s="21"/>
      <c r="F326" s="8"/>
      <c r="G326" s="8"/>
      <c r="H326" s="9"/>
      <c r="I326" s="9"/>
      <c r="J326" s="9"/>
      <c r="K326" s="10"/>
      <c r="L326" s="10"/>
      <c r="M326" s="9"/>
      <c r="N326" s="9"/>
      <c r="O326" s="9"/>
      <c r="P326"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26" s="9"/>
      <c r="R326" s="9"/>
      <c r="S326" s="38"/>
      <c r="T326" s="38"/>
      <c r="U326" s="38"/>
      <c r="V326" s="38"/>
      <c r="W326" s="38"/>
      <c r="X326" s="67" t="str">
        <f>IF(COUNTA(SalCommune[[#This Row],[N°]:[heures annuelles
selon contrat(s)]])=0,"",SalCommune[[#This Row],[Brut]]+SalCommune[[#This Row],[Autres Primes]]+SalCommune[[#This Row],[Part patronale]]-ABS(SalCommune[[#This Row],[Remboursement Mutualité]])-ABS(SalCommune[[#This Row],[Remboursement
Autres]]))</f>
        <v/>
      </c>
      <c r="Y326" s="38"/>
      <c r="Z326"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26" s="8"/>
      <c r="AB326" s="64"/>
      <c r="AC326"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26"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26" s="505"/>
      <c r="AF326" s="187"/>
      <c r="AG326" s="200" t="str">
        <f>IF(COUNTA(SalCommune[[#This Row],[N°]:[heures annuelles
selon contrat(s)]])=0,"",REVEX!$E$9)</f>
        <v/>
      </c>
      <c r="AH326" s="73" t="str">
        <f>IF(SalCommune[[#This Row],[Allocations fonctions]]="","",IF(ISNA(VLOOKUP(SalCommune[[#This Row],[Allocations fonctions]],DROPDOWN[Dropdown82],1,FALSE))=TRUE,"&lt;-- Veuillez choisir l'allocation parmis la liste déroulante.",""))</f>
        <v/>
      </c>
    </row>
    <row r="327" spans="1:34" x14ac:dyDescent="0.25">
      <c r="A327" s="73" t="str">
        <f>IF(SalCommune[[#This Row],[Statut]]="","",IF(ISNA(VLOOKUP(SalCommune[[#This Row],[Statut]],'Grille communale'!$B$3:$B$5,1,FALSE))=TRUE,"Veuillez choisir le statut parmis la liste déroulante",""))</f>
        <v/>
      </c>
      <c r="B327" s="8"/>
      <c r="C327" s="8"/>
      <c r="D327" s="8"/>
      <c r="E327" s="21"/>
      <c r="F327" s="8"/>
      <c r="G327" s="8"/>
      <c r="H327" s="9"/>
      <c r="I327" s="9"/>
      <c r="J327" s="9"/>
      <c r="K327" s="10"/>
      <c r="L327" s="10"/>
      <c r="M327" s="9"/>
      <c r="N327" s="9"/>
      <c r="O327" s="9"/>
      <c r="P327"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27" s="9"/>
      <c r="R327" s="9"/>
      <c r="S327" s="38"/>
      <c r="T327" s="38"/>
      <c r="U327" s="38"/>
      <c r="V327" s="38"/>
      <c r="W327" s="38"/>
      <c r="X327" s="67" t="str">
        <f>IF(COUNTA(SalCommune[[#This Row],[N°]:[heures annuelles
selon contrat(s)]])=0,"",SalCommune[[#This Row],[Brut]]+SalCommune[[#This Row],[Autres Primes]]+SalCommune[[#This Row],[Part patronale]]-ABS(SalCommune[[#This Row],[Remboursement Mutualité]])-ABS(SalCommune[[#This Row],[Remboursement
Autres]]))</f>
        <v/>
      </c>
      <c r="Y327" s="38"/>
      <c r="Z327"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27" s="8"/>
      <c r="AB327" s="64"/>
      <c r="AC327"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27"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27" s="505"/>
      <c r="AF327" s="187"/>
      <c r="AG327" s="200" t="str">
        <f>IF(COUNTA(SalCommune[[#This Row],[N°]:[heures annuelles
selon contrat(s)]])=0,"",REVEX!$E$9)</f>
        <v/>
      </c>
      <c r="AH327" s="73" t="str">
        <f>IF(SalCommune[[#This Row],[Allocations fonctions]]="","",IF(ISNA(VLOOKUP(SalCommune[[#This Row],[Allocations fonctions]],DROPDOWN[Dropdown82],1,FALSE))=TRUE,"&lt;-- Veuillez choisir l'allocation parmis la liste déroulante.",""))</f>
        <v/>
      </c>
    </row>
    <row r="328" spans="1:34" x14ac:dyDescent="0.25">
      <c r="A328" s="73" t="str">
        <f>IF(SalCommune[[#This Row],[Statut]]="","",IF(ISNA(VLOOKUP(SalCommune[[#This Row],[Statut]],'Grille communale'!$B$3:$B$5,1,FALSE))=TRUE,"Veuillez choisir le statut parmis la liste déroulante",""))</f>
        <v/>
      </c>
      <c r="B328" s="8"/>
      <c r="C328" s="8"/>
      <c r="D328" s="8"/>
      <c r="E328" s="21"/>
      <c r="F328" s="8"/>
      <c r="G328" s="8"/>
      <c r="H328" s="9"/>
      <c r="I328" s="9"/>
      <c r="J328" s="9"/>
      <c r="K328" s="10"/>
      <c r="L328" s="10"/>
      <c r="M328" s="9"/>
      <c r="N328" s="9"/>
      <c r="O328" s="9"/>
      <c r="P328"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28" s="9"/>
      <c r="R328" s="9"/>
      <c r="S328" s="38"/>
      <c r="T328" s="38"/>
      <c r="U328" s="38"/>
      <c r="V328" s="38"/>
      <c r="W328" s="38"/>
      <c r="X328" s="67" t="str">
        <f>IF(COUNTA(SalCommune[[#This Row],[N°]:[heures annuelles
selon contrat(s)]])=0,"",SalCommune[[#This Row],[Brut]]+SalCommune[[#This Row],[Autres Primes]]+SalCommune[[#This Row],[Part patronale]]-ABS(SalCommune[[#This Row],[Remboursement Mutualité]])-ABS(SalCommune[[#This Row],[Remboursement
Autres]]))</f>
        <v/>
      </c>
      <c r="Y328" s="38"/>
      <c r="Z328"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28" s="8"/>
      <c r="AB328" s="64"/>
      <c r="AC328"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28"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28" s="505"/>
      <c r="AF328" s="187"/>
      <c r="AG328" s="200" t="str">
        <f>IF(COUNTA(SalCommune[[#This Row],[N°]:[heures annuelles
selon contrat(s)]])=0,"",REVEX!$E$9)</f>
        <v/>
      </c>
      <c r="AH328" s="73" t="str">
        <f>IF(SalCommune[[#This Row],[Allocations fonctions]]="","",IF(ISNA(VLOOKUP(SalCommune[[#This Row],[Allocations fonctions]],DROPDOWN[Dropdown82],1,FALSE))=TRUE,"&lt;-- Veuillez choisir l'allocation parmis la liste déroulante.",""))</f>
        <v/>
      </c>
    </row>
    <row r="329" spans="1:34" x14ac:dyDescent="0.25">
      <c r="A329" s="73" t="str">
        <f>IF(SalCommune[[#This Row],[Statut]]="","",IF(ISNA(VLOOKUP(SalCommune[[#This Row],[Statut]],'Grille communale'!$B$3:$B$5,1,FALSE))=TRUE,"Veuillez choisir le statut parmis la liste déroulante",""))</f>
        <v/>
      </c>
      <c r="B329" s="8"/>
      <c r="C329" s="8"/>
      <c r="D329" s="8"/>
      <c r="E329" s="21"/>
      <c r="F329" s="8"/>
      <c r="G329" s="8"/>
      <c r="H329" s="9"/>
      <c r="I329" s="9"/>
      <c r="J329" s="9"/>
      <c r="K329" s="10"/>
      <c r="L329" s="10"/>
      <c r="M329" s="9"/>
      <c r="N329" s="9"/>
      <c r="O329" s="9"/>
      <c r="P329"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29" s="9"/>
      <c r="R329" s="9"/>
      <c r="S329" s="38"/>
      <c r="T329" s="38"/>
      <c r="U329" s="38"/>
      <c r="V329" s="38"/>
      <c r="W329" s="38"/>
      <c r="X329" s="67" t="str">
        <f>IF(COUNTA(SalCommune[[#This Row],[N°]:[heures annuelles
selon contrat(s)]])=0,"",SalCommune[[#This Row],[Brut]]+SalCommune[[#This Row],[Autres Primes]]+SalCommune[[#This Row],[Part patronale]]-ABS(SalCommune[[#This Row],[Remboursement Mutualité]])-ABS(SalCommune[[#This Row],[Remboursement
Autres]]))</f>
        <v/>
      </c>
      <c r="Y329" s="38"/>
      <c r="Z329"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29" s="8"/>
      <c r="AB329" s="64"/>
      <c r="AC329"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29"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29" s="505"/>
      <c r="AF329" s="187"/>
      <c r="AG329" s="200" t="str">
        <f>IF(COUNTA(SalCommune[[#This Row],[N°]:[heures annuelles
selon contrat(s)]])=0,"",REVEX!$E$9)</f>
        <v/>
      </c>
      <c r="AH329" s="73" t="str">
        <f>IF(SalCommune[[#This Row],[Allocations fonctions]]="","",IF(ISNA(VLOOKUP(SalCommune[[#This Row],[Allocations fonctions]],DROPDOWN[Dropdown82],1,FALSE))=TRUE,"&lt;-- Veuillez choisir l'allocation parmis la liste déroulante.",""))</f>
        <v/>
      </c>
    </row>
    <row r="330" spans="1:34" x14ac:dyDescent="0.25">
      <c r="A330" s="73" t="str">
        <f>IF(SalCommune[[#This Row],[Statut]]="","",IF(ISNA(VLOOKUP(SalCommune[[#This Row],[Statut]],'Grille communale'!$B$3:$B$5,1,FALSE))=TRUE,"Veuillez choisir le statut parmis la liste déroulante",""))</f>
        <v/>
      </c>
      <c r="B330" s="8"/>
      <c r="C330" s="8"/>
      <c r="D330" s="8"/>
      <c r="E330" s="21"/>
      <c r="F330" s="8"/>
      <c r="G330" s="8"/>
      <c r="H330" s="9"/>
      <c r="I330" s="9"/>
      <c r="J330" s="9"/>
      <c r="K330" s="10"/>
      <c r="L330" s="10"/>
      <c r="M330" s="9"/>
      <c r="N330" s="9"/>
      <c r="O330" s="9"/>
      <c r="P330"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30" s="9"/>
      <c r="R330" s="9"/>
      <c r="S330" s="38"/>
      <c r="T330" s="38"/>
      <c r="U330" s="38"/>
      <c r="V330" s="38"/>
      <c r="W330" s="38"/>
      <c r="X330" s="67" t="str">
        <f>IF(COUNTA(SalCommune[[#This Row],[N°]:[heures annuelles
selon contrat(s)]])=0,"",SalCommune[[#This Row],[Brut]]+SalCommune[[#This Row],[Autres Primes]]+SalCommune[[#This Row],[Part patronale]]-ABS(SalCommune[[#This Row],[Remboursement Mutualité]])-ABS(SalCommune[[#This Row],[Remboursement
Autres]]))</f>
        <v/>
      </c>
      <c r="Y330" s="38"/>
      <c r="Z330"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30" s="8"/>
      <c r="AB330" s="64"/>
      <c r="AC330"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30"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30" s="505"/>
      <c r="AF330" s="187"/>
      <c r="AG330" s="200" t="str">
        <f>IF(COUNTA(SalCommune[[#This Row],[N°]:[heures annuelles
selon contrat(s)]])=0,"",REVEX!$E$9)</f>
        <v/>
      </c>
      <c r="AH330" s="73" t="str">
        <f>IF(SalCommune[[#This Row],[Allocations fonctions]]="","",IF(ISNA(VLOOKUP(SalCommune[[#This Row],[Allocations fonctions]],DROPDOWN[Dropdown82],1,FALSE))=TRUE,"&lt;-- Veuillez choisir l'allocation parmis la liste déroulante.",""))</f>
        <v/>
      </c>
    </row>
    <row r="331" spans="1:34" x14ac:dyDescent="0.25">
      <c r="A331" s="73" t="str">
        <f>IF(SalCommune[[#This Row],[Statut]]="","",IF(ISNA(VLOOKUP(SalCommune[[#This Row],[Statut]],'Grille communale'!$B$3:$B$5,1,FALSE))=TRUE,"Veuillez choisir le statut parmis la liste déroulante",""))</f>
        <v/>
      </c>
      <c r="B331" s="8"/>
      <c r="C331" s="8"/>
      <c r="D331" s="8"/>
      <c r="E331" s="21"/>
      <c r="F331" s="8"/>
      <c r="G331" s="8"/>
      <c r="H331" s="9"/>
      <c r="I331" s="9"/>
      <c r="J331" s="9"/>
      <c r="K331" s="10"/>
      <c r="L331" s="10"/>
      <c r="M331" s="9"/>
      <c r="N331" s="9"/>
      <c r="O331" s="9"/>
      <c r="P331"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31" s="9"/>
      <c r="R331" s="9"/>
      <c r="S331" s="38"/>
      <c r="T331" s="38"/>
      <c r="U331" s="38"/>
      <c r="V331" s="38"/>
      <c r="W331" s="38"/>
      <c r="X331" s="67" t="str">
        <f>IF(COUNTA(SalCommune[[#This Row],[N°]:[heures annuelles
selon contrat(s)]])=0,"",SalCommune[[#This Row],[Brut]]+SalCommune[[#This Row],[Autres Primes]]+SalCommune[[#This Row],[Part patronale]]-ABS(SalCommune[[#This Row],[Remboursement Mutualité]])-ABS(SalCommune[[#This Row],[Remboursement
Autres]]))</f>
        <v/>
      </c>
      <c r="Y331" s="38"/>
      <c r="Z331"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31" s="8"/>
      <c r="AB331" s="64"/>
      <c r="AC331"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31"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31" s="505"/>
      <c r="AF331" s="187"/>
      <c r="AG331" s="200" t="str">
        <f>IF(COUNTA(SalCommune[[#This Row],[N°]:[heures annuelles
selon contrat(s)]])=0,"",REVEX!$E$9)</f>
        <v/>
      </c>
      <c r="AH331" s="73" t="str">
        <f>IF(SalCommune[[#This Row],[Allocations fonctions]]="","",IF(ISNA(VLOOKUP(SalCommune[[#This Row],[Allocations fonctions]],DROPDOWN[Dropdown82],1,FALSE))=TRUE,"&lt;-- Veuillez choisir l'allocation parmis la liste déroulante.",""))</f>
        <v/>
      </c>
    </row>
    <row r="332" spans="1:34" x14ac:dyDescent="0.25">
      <c r="A332" s="73" t="str">
        <f>IF(SalCommune[[#This Row],[Statut]]="","",IF(ISNA(VLOOKUP(SalCommune[[#This Row],[Statut]],'Grille communale'!$B$3:$B$5,1,FALSE))=TRUE,"Veuillez choisir le statut parmis la liste déroulante",""))</f>
        <v/>
      </c>
      <c r="B332" s="8"/>
      <c r="C332" s="8"/>
      <c r="D332" s="8"/>
      <c r="E332" s="21"/>
      <c r="F332" s="8"/>
      <c r="G332" s="8"/>
      <c r="H332" s="9"/>
      <c r="I332" s="9"/>
      <c r="J332" s="9"/>
      <c r="K332" s="10"/>
      <c r="L332" s="10"/>
      <c r="M332" s="9"/>
      <c r="N332" s="9"/>
      <c r="O332" s="9"/>
      <c r="P332"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32" s="9"/>
      <c r="R332" s="9"/>
      <c r="S332" s="38"/>
      <c r="T332" s="38"/>
      <c r="U332" s="38"/>
      <c r="V332" s="38"/>
      <c r="W332" s="38"/>
      <c r="X332" s="67" t="str">
        <f>IF(COUNTA(SalCommune[[#This Row],[N°]:[heures annuelles
selon contrat(s)]])=0,"",SalCommune[[#This Row],[Brut]]+SalCommune[[#This Row],[Autres Primes]]+SalCommune[[#This Row],[Part patronale]]-ABS(SalCommune[[#This Row],[Remboursement Mutualité]])-ABS(SalCommune[[#This Row],[Remboursement
Autres]]))</f>
        <v/>
      </c>
      <c r="Y332" s="38"/>
      <c r="Z332"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32" s="8"/>
      <c r="AB332" s="64"/>
      <c r="AC332"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32"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32" s="505"/>
      <c r="AF332" s="187"/>
      <c r="AG332" s="200" t="str">
        <f>IF(COUNTA(SalCommune[[#This Row],[N°]:[heures annuelles
selon contrat(s)]])=0,"",REVEX!$E$9)</f>
        <v/>
      </c>
      <c r="AH332" s="73" t="str">
        <f>IF(SalCommune[[#This Row],[Allocations fonctions]]="","",IF(ISNA(VLOOKUP(SalCommune[[#This Row],[Allocations fonctions]],DROPDOWN[Dropdown82],1,FALSE))=TRUE,"&lt;-- Veuillez choisir l'allocation parmis la liste déroulante.",""))</f>
        <v/>
      </c>
    </row>
    <row r="333" spans="1:34" x14ac:dyDescent="0.25">
      <c r="A333" s="73" t="str">
        <f>IF(SalCommune[[#This Row],[Statut]]="","",IF(ISNA(VLOOKUP(SalCommune[[#This Row],[Statut]],'Grille communale'!$B$3:$B$5,1,FALSE))=TRUE,"Veuillez choisir le statut parmis la liste déroulante",""))</f>
        <v/>
      </c>
      <c r="B333" s="8"/>
      <c r="C333" s="8"/>
      <c r="D333" s="8"/>
      <c r="E333" s="21"/>
      <c r="F333" s="8"/>
      <c r="G333" s="8"/>
      <c r="H333" s="9"/>
      <c r="I333" s="9"/>
      <c r="J333" s="9"/>
      <c r="K333" s="10"/>
      <c r="L333" s="10"/>
      <c r="M333" s="9"/>
      <c r="N333" s="9"/>
      <c r="O333" s="9"/>
      <c r="P333"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33" s="9"/>
      <c r="R333" s="9"/>
      <c r="S333" s="38"/>
      <c r="T333" s="38"/>
      <c r="U333" s="38"/>
      <c r="V333" s="38"/>
      <c r="W333" s="38"/>
      <c r="X333" s="67" t="str">
        <f>IF(COUNTA(SalCommune[[#This Row],[N°]:[heures annuelles
selon contrat(s)]])=0,"",SalCommune[[#This Row],[Brut]]+SalCommune[[#This Row],[Autres Primes]]+SalCommune[[#This Row],[Part patronale]]-ABS(SalCommune[[#This Row],[Remboursement Mutualité]])-ABS(SalCommune[[#This Row],[Remboursement
Autres]]))</f>
        <v/>
      </c>
      <c r="Y333" s="38"/>
      <c r="Z333"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33" s="8"/>
      <c r="AB333" s="64"/>
      <c r="AC333"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33"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33" s="505"/>
      <c r="AF333" s="187"/>
      <c r="AG333" s="200" t="str">
        <f>IF(COUNTA(SalCommune[[#This Row],[N°]:[heures annuelles
selon contrat(s)]])=0,"",REVEX!$E$9)</f>
        <v/>
      </c>
      <c r="AH333" s="73" t="str">
        <f>IF(SalCommune[[#This Row],[Allocations fonctions]]="","",IF(ISNA(VLOOKUP(SalCommune[[#This Row],[Allocations fonctions]],DROPDOWN[Dropdown82],1,FALSE))=TRUE,"&lt;-- Veuillez choisir l'allocation parmis la liste déroulante.",""))</f>
        <v/>
      </c>
    </row>
    <row r="334" spans="1:34" x14ac:dyDescent="0.25">
      <c r="A334" s="73" t="str">
        <f>IF(SalCommune[[#This Row],[Statut]]="","",IF(ISNA(VLOOKUP(SalCommune[[#This Row],[Statut]],'Grille communale'!$B$3:$B$5,1,FALSE))=TRUE,"Veuillez choisir le statut parmis la liste déroulante",""))</f>
        <v/>
      </c>
      <c r="B334" s="8"/>
      <c r="C334" s="8"/>
      <c r="D334" s="8"/>
      <c r="E334" s="21"/>
      <c r="F334" s="8"/>
      <c r="G334" s="8"/>
      <c r="H334" s="9"/>
      <c r="I334" s="9"/>
      <c r="J334" s="9"/>
      <c r="K334" s="10"/>
      <c r="L334" s="10"/>
      <c r="M334" s="9"/>
      <c r="N334" s="9"/>
      <c r="O334" s="9"/>
      <c r="P334"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34" s="9"/>
      <c r="R334" s="9"/>
      <c r="S334" s="38"/>
      <c r="T334" s="38"/>
      <c r="U334" s="38"/>
      <c r="V334" s="38"/>
      <c r="W334" s="38"/>
      <c r="X334" s="67" t="str">
        <f>IF(COUNTA(SalCommune[[#This Row],[N°]:[heures annuelles
selon contrat(s)]])=0,"",SalCommune[[#This Row],[Brut]]+SalCommune[[#This Row],[Autres Primes]]+SalCommune[[#This Row],[Part patronale]]-ABS(SalCommune[[#This Row],[Remboursement Mutualité]])-ABS(SalCommune[[#This Row],[Remboursement
Autres]]))</f>
        <v/>
      </c>
      <c r="Y334" s="38"/>
      <c r="Z334"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34" s="8"/>
      <c r="AB334" s="64"/>
      <c r="AC334"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34"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34" s="505"/>
      <c r="AF334" s="187"/>
      <c r="AG334" s="200" t="str">
        <f>IF(COUNTA(SalCommune[[#This Row],[N°]:[heures annuelles
selon contrat(s)]])=0,"",REVEX!$E$9)</f>
        <v/>
      </c>
      <c r="AH334" s="73" t="str">
        <f>IF(SalCommune[[#This Row],[Allocations fonctions]]="","",IF(ISNA(VLOOKUP(SalCommune[[#This Row],[Allocations fonctions]],DROPDOWN[Dropdown82],1,FALSE))=TRUE,"&lt;-- Veuillez choisir l'allocation parmis la liste déroulante.",""))</f>
        <v/>
      </c>
    </row>
    <row r="335" spans="1:34" x14ac:dyDescent="0.25">
      <c r="A335" s="73" t="str">
        <f>IF(SalCommune[[#This Row],[Statut]]="","",IF(ISNA(VLOOKUP(SalCommune[[#This Row],[Statut]],'Grille communale'!$B$3:$B$5,1,FALSE))=TRUE,"Veuillez choisir le statut parmis la liste déroulante",""))</f>
        <v/>
      </c>
      <c r="B335" s="8"/>
      <c r="C335" s="8"/>
      <c r="D335" s="8"/>
      <c r="E335" s="21"/>
      <c r="F335" s="8"/>
      <c r="G335" s="8"/>
      <c r="H335" s="9"/>
      <c r="I335" s="9"/>
      <c r="J335" s="9"/>
      <c r="K335" s="10"/>
      <c r="L335" s="10"/>
      <c r="M335" s="9"/>
      <c r="N335" s="9"/>
      <c r="O335" s="9"/>
      <c r="P335"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35" s="9"/>
      <c r="R335" s="9"/>
      <c r="S335" s="38"/>
      <c r="T335" s="38"/>
      <c r="U335" s="38"/>
      <c r="V335" s="38"/>
      <c r="W335" s="38"/>
      <c r="X335" s="67" t="str">
        <f>IF(COUNTA(SalCommune[[#This Row],[N°]:[heures annuelles
selon contrat(s)]])=0,"",SalCommune[[#This Row],[Brut]]+SalCommune[[#This Row],[Autres Primes]]+SalCommune[[#This Row],[Part patronale]]-ABS(SalCommune[[#This Row],[Remboursement Mutualité]])-ABS(SalCommune[[#This Row],[Remboursement
Autres]]))</f>
        <v/>
      </c>
      <c r="Y335" s="38"/>
      <c r="Z335"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35" s="8"/>
      <c r="AB335" s="64"/>
      <c r="AC335"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35"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35" s="505"/>
      <c r="AF335" s="187"/>
      <c r="AG335" s="200" t="str">
        <f>IF(COUNTA(SalCommune[[#This Row],[N°]:[heures annuelles
selon contrat(s)]])=0,"",REVEX!$E$9)</f>
        <v/>
      </c>
      <c r="AH335" s="73" t="str">
        <f>IF(SalCommune[[#This Row],[Allocations fonctions]]="","",IF(ISNA(VLOOKUP(SalCommune[[#This Row],[Allocations fonctions]],DROPDOWN[Dropdown82],1,FALSE))=TRUE,"&lt;-- Veuillez choisir l'allocation parmis la liste déroulante.",""))</f>
        <v/>
      </c>
    </row>
    <row r="336" spans="1:34" x14ac:dyDescent="0.25">
      <c r="A336" s="73" t="str">
        <f>IF(SalCommune[[#This Row],[Statut]]="","",IF(ISNA(VLOOKUP(SalCommune[[#This Row],[Statut]],'Grille communale'!$B$3:$B$5,1,FALSE))=TRUE,"Veuillez choisir le statut parmis la liste déroulante",""))</f>
        <v/>
      </c>
      <c r="B336" s="8"/>
      <c r="C336" s="8"/>
      <c r="D336" s="8"/>
      <c r="E336" s="21"/>
      <c r="F336" s="8"/>
      <c r="G336" s="8"/>
      <c r="H336" s="9"/>
      <c r="I336" s="9"/>
      <c r="J336" s="9"/>
      <c r="K336" s="10"/>
      <c r="L336" s="10"/>
      <c r="M336" s="9"/>
      <c r="N336" s="9"/>
      <c r="O336" s="9"/>
      <c r="P336"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36" s="9"/>
      <c r="R336" s="9"/>
      <c r="S336" s="38"/>
      <c r="T336" s="38"/>
      <c r="U336" s="38"/>
      <c r="V336" s="38"/>
      <c r="W336" s="38"/>
      <c r="X336" s="67" t="str">
        <f>IF(COUNTA(SalCommune[[#This Row],[N°]:[heures annuelles
selon contrat(s)]])=0,"",SalCommune[[#This Row],[Brut]]+SalCommune[[#This Row],[Autres Primes]]+SalCommune[[#This Row],[Part patronale]]-ABS(SalCommune[[#This Row],[Remboursement Mutualité]])-ABS(SalCommune[[#This Row],[Remboursement
Autres]]))</f>
        <v/>
      </c>
      <c r="Y336" s="38"/>
      <c r="Z336"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36" s="8"/>
      <c r="AB336" s="64"/>
      <c r="AC336"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36"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36" s="505"/>
      <c r="AF336" s="187"/>
      <c r="AG336" s="200" t="str">
        <f>IF(COUNTA(SalCommune[[#This Row],[N°]:[heures annuelles
selon contrat(s)]])=0,"",REVEX!$E$9)</f>
        <v/>
      </c>
      <c r="AH336" s="73" t="str">
        <f>IF(SalCommune[[#This Row],[Allocations fonctions]]="","",IF(ISNA(VLOOKUP(SalCommune[[#This Row],[Allocations fonctions]],DROPDOWN[Dropdown82],1,FALSE))=TRUE,"&lt;-- Veuillez choisir l'allocation parmis la liste déroulante.",""))</f>
        <v/>
      </c>
    </row>
    <row r="337" spans="1:34" x14ac:dyDescent="0.25">
      <c r="A337" s="73" t="str">
        <f>IF(SalCommune[[#This Row],[Statut]]="","",IF(ISNA(VLOOKUP(SalCommune[[#This Row],[Statut]],'Grille communale'!$B$3:$B$5,1,FALSE))=TRUE,"Veuillez choisir le statut parmis la liste déroulante",""))</f>
        <v/>
      </c>
      <c r="B337" s="8"/>
      <c r="C337" s="8"/>
      <c r="D337" s="8"/>
      <c r="E337" s="21"/>
      <c r="F337" s="8"/>
      <c r="G337" s="8"/>
      <c r="H337" s="9"/>
      <c r="I337" s="9"/>
      <c r="J337" s="9"/>
      <c r="K337" s="10"/>
      <c r="L337" s="10"/>
      <c r="M337" s="9"/>
      <c r="N337" s="9"/>
      <c r="O337" s="9"/>
      <c r="P337"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37" s="9"/>
      <c r="R337" s="9"/>
      <c r="S337" s="38"/>
      <c r="T337" s="38"/>
      <c r="U337" s="38"/>
      <c r="V337" s="38"/>
      <c r="W337" s="38"/>
      <c r="X337" s="67" t="str">
        <f>IF(COUNTA(SalCommune[[#This Row],[N°]:[heures annuelles
selon contrat(s)]])=0,"",SalCommune[[#This Row],[Brut]]+SalCommune[[#This Row],[Autres Primes]]+SalCommune[[#This Row],[Part patronale]]-ABS(SalCommune[[#This Row],[Remboursement Mutualité]])-ABS(SalCommune[[#This Row],[Remboursement
Autres]]))</f>
        <v/>
      </c>
      <c r="Y337" s="38"/>
      <c r="Z337"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37" s="8"/>
      <c r="AB337" s="64"/>
      <c r="AC337"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37"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37" s="505"/>
      <c r="AF337" s="187"/>
      <c r="AG337" s="200" t="str">
        <f>IF(COUNTA(SalCommune[[#This Row],[N°]:[heures annuelles
selon contrat(s)]])=0,"",REVEX!$E$9)</f>
        <v/>
      </c>
      <c r="AH337" s="73" t="str">
        <f>IF(SalCommune[[#This Row],[Allocations fonctions]]="","",IF(ISNA(VLOOKUP(SalCommune[[#This Row],[Allocations fonctions]],DROPDOWN[Dropdown82],1,FALSE))=TRUE,"&lt;-- Veuillez choisir l'allocation parmis la liste déroulante.",""))</f>
        <v/>
      </c>
    </row>
    <row r="338" spans="1:34" x14ac:dyDescent="0.25">
      <c r="A338" s="73" t="str">
        <f>IF(SalCommune[[#This Row],[Statut]]="","",IF(ISNA(VLOOKUP(SalCommune[[#This Row],[Statut]],'Grille communale'!$B$3:$B$5,1,FALSE))=TRUE,"Veuillez choisir le statut parmis la liste déroulante",""))</f>
        <v/>
      </c>
      <c r="B338" s="8"/>
      <c r="C338" s="8"/>
      <c r="D338" s="8"/>
      <c r="E338" s="21"/>
      <c r="F338" s="8"/>
      <c r="G338" s="8"/>
      <c r="H338" s="9"/>
      <c r="I338" s="9"/>
      <c r="J338" s="9"/>
      <c r="K338" s="10"/>
      <c r="L338" s="10"/>
      <c r="M338" s="9"/>
      <c r="N338" s="9"/>
      <c r="O338" s="9"/>
      <c r="P338"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38" s="9"/>
      <c r="R338" s="9"/>
      <c r="S338" s="38"/>
      <c r="T338" s="38"/>
      <c r="U338" s="38"/>
      <c r="V338" s="38"/>
      <c r="W338" s="38"/>
      <c r="X338" s="67" t="str">
        <f>IF(COUNTA(SalCommune[[#This Row],[N°]:[heures annuelles
selon contrat(s)]])=0,"",SalCommune[[#This Row],[Brut]]+SalCommune[[#This Row],[Autres Primes]]+SalCommune[[#This Row],[Part patronale]]-ABS(SalCommune[[#This Row],[Remboursement Mutualité]])-ABS(SalCommune[[#This Row],[Remboursement
Autres]]))</f>
        <v/>
      </c>
      <c r="Y338" s="38"/>
      <c r="Z338"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38" s="8"/>
      <c r="AB338" s="64"/>
      <c r="AC338"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38"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38" s="505"/>
      <c r="AF338" s="187"/>
      <c r="AG338" s="200" t="str">
        <f>IF(COUNTA(SalCommune[[#This Row],[N°]:[heures annuelles
selon contrat(s)]])=0,"",REVEX!$E$9)</f>
        <v/>
      </c>
      <c r="AH338" s="73" t="str">
        <f>IF(SalCommune[[#This Row],[Allocations fonctions]]="","",IF(ISNA(VLOOKUP(SalCommune[[#This Row],[Allocations fonctions]],DROPDOWN[Dropdown82],1,FALSE))=TRUE,"&lt;-- Veuillez choisir l'allocation parmis la liste déroulante.",""))</f>
        <v/>
      </c>
    </row>
    <row r="339" spans="1:34" x14ac:dyDescent="0.25">
      <c r="A339" s="73" t="str">
        <f>IF(SalCommune[[#This Row],[Statut]]="","",IF(ISNA(VLOOKUP(SalCommune[[#This Row],[Statut]],'Grille communale'!$B$3:$B$5,1,FALSE))=TRUE,"Veuillez choisir le statut parmis la liste déroulante",""))</f>
        <v/>
      </c>
      <c r="B339" s="8"/>
      <c r="C339" s="8"/>
      <c r="D339" s="8"/>
      <c r="E339" s="21"/>
      <c r="F339" s="8"/>
      <c r="G339" s="8"/>
      <c r="H339" s="9"/>
      <c r="I339" s="9"/>
      <c r="J339" s="9"/>
      <c r="K339" s="10"/>
      <c r="L339" s="10"/>
      <c r="M339" s="9"/>
      <c r="N339" s="9"/>
      <c r="O339" s="9"/>
      <c r="P339"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39" s="9"/>
      <c r="R339" s="9"/>
      <c r="S339" s="38"/>
      <c r="T339" s="38"/>
      <c r="U339" s="38"/>
      <c r="V339" s="38"/>
      <c r="W339" s="38"/>
      <c r="X339" s="67" t="str">
        <f>IF(COUNTA(SalCommune[[#This Row],[N°]:[heures annuelles
selon contrat(s)]])=0,"",SalCommune[[#This Row],[Brut]]+SalCommune[[#This Row],[Autres Primes]]+SalCommune[[#This Row],[Part patronale]]-ABS(SalCommune[[#This Row],[Remboursement Mutualité]])-ABS(SalCommune[[#This Row],[Remboursement
Autres]]))</f>
        <v/>
      </c>
      <c r="Y339" s="38"/>
      <c r="Z339"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39" s="8"/>
      <c r="AB339" s="64"/>
      <c r="AC339"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39"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39" s="505"/>
      <c r="AF339" s="187"/>
      <c r="AG339" s="200" t="str">
        <f>IF(COUNTA(SalCommune[[#This Row],[N°]:[heures annuelles
selon contrat(s)]])=0,"",REVEX!$E$9)</f>
        <v/>
      </c>
      <c r="AH339" s="73" t="str">
        <f>IF(SalCommune[[#This Row],[Allocations fonctions]]="","",IF(ISNA(VLOOKUP(SalCommune[[#This Row],[Allocations fonctions]],DROPDOWN[Dropdown82],1,FALSE))=TRUE,"&lt;-- Veuillez choisir l'allocation parmis la liste déroulante.",""))</f>
        <v/>
      </c>
    </row>
    <row r="340" spans="1:34" x14ac:dyDescent="0.25">
      <c r="A340" s="73" t="str">
        <f>IF(SalCommune[[#This Row],[Statut]]="","",IF(ISNA(VLOOKUP(SalCommune[[#This Row],[Statut]],'Grille communale'!$B$3:$B$5,1,FALSE))=TRUE,"Veuillez choisir le statut parmis la liste déroulante",""))</f>
        <v/>
      </c>
      <c r="B340" s="8"/>
      <c r="C340" s="8"/>
      <c r="D340" s="8"/>
      <c r="E340" s="21"/>
      <c r="F340" s="8"/>
      <c r="G340" s="8"/>
      <c r="H340" s="9"/>
      <c r="I340" s="9"/>
      <c r="J340" s="9"/>
      <c r="K340" s="10"/>
      <c r="L340" s="10"/>
      <c r="M340" s="9"/>
      <c r="N340" s="9"/>
      <c r="O340" s="9"/>
      <c r="P340"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40" s="9"/>
      <c r="R340" s="9"/>
      <c r="S340" s="38"/>
      <c r="T340" s="38"/>
      <c r="U340" s="38"/>
      <c r="V340" s="38"/>
      <c r="W340" s="38"/>
      <c r="X340" s="67" t="str">
        <f>IF(COUNTA(SalCommune[[#This Row],[N°]:[heures annuelles
selon contrat(s)]])=0,"",SalCommune[[#This Row],[Brut]]+SalCommune[[#This Row],[Autres Primes]]+SalCommune[[#This Row],[Part patronale]]-ABS(SalCommune[[#This Row],[Remboursement Mutualité]])-ABS(SalCommune[[#This Row],[Remboursement
Autres]]))</f>
        <v/>
      </c>
      <c r="Y340" s="38"/>
      <c r="Z340"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40" s="8"/>
      <c r="AB340" s="64"/>
      <c r="AC340"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40"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40" s="505"/>
      <c r="AF340" s="187"/>
      <c r="AG340" s="200" t="str">
        <f>IF(COUNTA(SalCommune[[#This Row],[N°]:[heures annuelles
selon contrat(s)]])=0,"",REVEX!$E$9)</f>
        <v/>
      </c>
      <c r="AH340" s="73" t="str">
        <f>IF(SalCommune[[#This Row],[Allocations fonctions]]="","",IF(ISNA(VLOOKUP(SalCommune[[#This Row],[Allocations fonctions]],DROPDOWN[Dropdown82],1,FALSE))=TRUE,"&lt;-- Veuillez choisir l'allocation parmis la liste déroulante.",""))</f>
        <v/>
      </c>
    </row>
    <row r="341" spans="1:34" x14ac:dyDescent="0.25">
      <c r="A341" s="73" t="str">
        <f>IF(SalCommune[[#This Row],[Statut]]="","",IF(ISNA(VLOOKUP(SalCommune[[#This Row],[Statut]],'Grille communale'!$B$3:$B$5,1,FALSE))=TRUE,"Veuillez choisir le statut parmis la liste déroulante",""))</f>
        <v/>
      </c>
      <c r="B341" s="8"/>
      <c r="C341" s="8"/>
      <c r="D341" s="8"/>
      <c r="E341" s="21"/>
      <c r="F341" s="8"/>
      <c r="G341" s="8"/>
      <c r="H341" s="9"/>
      <c r="I341" s="9"/>
      <c r="J341" s="9"/>
      <c r="K341" s="10"/>
      <c r="L341" s="10"/>
      <c r="M341" s="9"/>
      <c r="N341" s="9"/>
      <c r="O341" s="9"/>
      <c r="P341"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41" s="9"/>
      <c r="R341" s="9"/>
      <c r="S341" s="38"/>
      <c r="T341" s="38"/>
      <c r="U341" s="38"/>
      <c r="V341" s="38"/>
      <c r="W341" s="38"/>
      <c r="X341" s="67" t="str">
        <f>IF(COUNTA(SalCommune[[#This Row],[N°]:[heures annuelles
selon contrat(s)]])=0,"",SalCommune[[#This Row],[Brut]]+SalCommune[[#This Row],[Autres Primes]]+SalCommune[[#This Row],[Part patronale]]-ABS(SalCommune[[#This Row],[Remboursement Mutualité]])-ABS(SalCommune[[#This Row],[Remboursement
Autres]]))</f>
        <v/>
      </c>
      <c r="Y341" s="38"/>
      <c r="Z341"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41" s="8"/>
      <c r="AB341" s="64"/>
      <c r="AC341"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41"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41" s="505"/>
      <c r="AF341" s="187"/>
      <c r="AG341" s="200" t="str">
        <f>IF(COUNTA(SalCommune[[#This Row],[N°]:[heures annuelles
selon contrat(s)]])=0,"",REVEX!$E$9)</f>
        <v/>
      </c>
      <c r="AH341" s="73" t="str">
        <f>IF(SalCommune[[#This Row],[Allocations fonctions]]="","",IF(ISNA(VLOOKUP(SalCommune[[#This Row],[Allocations fonctions]],DROPDOWN[Dropdown82],1,FALSE))=TRUE,"&lt;-- Veuillez choisir l'allocation parmis la liste déroulante.",""))</f>
        <v/>
      </c>
    </row>
    <row r="342" spans="1:34" x14ac:dyDescent="0.25">
      <c r="A342" s="73" t="str">
        <f>IF(SalCommune[[#This Row],[Statut]]="","",IF(ISNA(VLOOKUP(SalCommune[[#This Row],[Statut]],'Grille communale'!$B$3:$B$5,1,FALSE))=TRUE,"Veuillez choisir le statut parmis la liste déroulante",""))</f>
        <v/>
      </c>
      <c r="B342" s="8"/>
      <c r="C342" s="8"/>
      <c r="D342" s="8"/>
      <c r="E342" s="21"/>
      <c r="F342" s="8"/>
      <c r="G342" s="8"/>
      <c r="H342" s="9"/>
      <c r="I342" s="9"/>
      <c r="J342" s="9"/>
      <c r="K342" s="10"/>
      <c r="L342" s="10"/>
      <c r="M342" s="9"/>
      <c r="N342" s="9"/>
      <c r="O342" s="9"/>
      <c r="P342"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42" s="9"/>
      <c r="R342" s="9"/>
      <c r="S342" s="38"/>
      <c r="T342" s="38"/>
      <c r="U342" s="38"/>
      <c r="V342" s="38"/>
      <c r="W342" s="38"/>
      <c r="X342" s="67" t="str">
        <f>IF(COUNTA(SalCommune[[#This Row],[N°]:[heures annuelles
selon contrat(s)]])=0,"",SalCommune[[#This Row],[Brut]]+SalCommune[[#This Row],[Autres Primes]]+SalCommune[[#This Row],[Part patronale]]-ABS(SalCommune[[#This Row],[Remboursement Mutualité]])-ABS(SalCommune[[#This Row],[Remboursement
Autres]]))</f>
        <v/>
      </c>
      <c r="Y342" s="38"/>
      <c r="Z342"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42" s="8"/>
      <c r="AB342" s="64"/>
      <c r="AC342"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42"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42" s="505"/>
      <c r="AF342" s="187"/>
      <c r="AG342" s="200" t="str">
        <f>IF(COUNTA(SalCommune[[#This Row],[N°]:[heures annuelles
selon contrat(s)]])=0,"",REVEX!$E$9)</f>
        <v/>
      </c>
      <c r="AH342" s="73" t="str">
        <f>IF(SalCommune[[#This Row],[Allocations fonctions]]="","",IF(ISNA(VLOOKUP(SalCommune[[#This Row],[Allocations fonctions]],DROPDOWN[Dropdown82],1,FALSE))=TRUE,"&lt;-- Veuillez choisir l'allocation parmis la liste déroulante.",""))</f>
        <v/>
      </c>
    </row>
    <row r="343" spans="1:34" x14ac:dyDescent="0.25">
      <c r="A343" s="73" t="str">
        <f>IF(SalCommune[[#This Row],[Statut]]="","",IF(ISNA(VLOOKUP(SalCommune[[#This Row],[Statut]],'Grille communale'!$B$3:$B$5,1,FALSE))=TRUE,"Veuillez choisir le statut parmis la liste déroulante",""))</f>
        <v/>
      </c>
      <c r="B343" s="8"/>
      <c r="C343" s="8"/>
      <c r="D343" s="8"/>
      <c r="E343" s="21"/>
      <c r="F343" s="8"/>
      <c r="G343" s="8"/>
      <c r="H343" s="9"/>
      <c r="I343" s="9"/>
      <c r="J343" s="9"/>
      <c r="K343" s="10"/>
      <c r="L343" s="10"/>
      <c r="M343" s="9"/>
      <c r="N343" s="9"/>
      <c r="O343" s="9"/>
      <c r="P343"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43" s="9"/>
      <c r="R343" s="9"/>
      <c r="S343" s="38"/>
      <c r="T343" s="38"/>
      <c r="U343" s="38"/>
      <c r="V343" s="38"/>
      <c r="W343" s="38"/>
      <c r="X343" s="67" t="str">
        <f>IF(COUNTA(SalCommune[[#This Row],[N°]:[heures annuelles
selon contrat(s)]])=0,"",SalCommune[[#This Row],[Brut]]+SalCommune[[#This Row],[Autres Primes]]+SalCommune[[#This Row],[Part patronale]]-ABS(SalCommune[[#This Row],[Remboursement Mutualité]])-ABS(SalCommune[[#This Row],[Remboursement
Autres]]))</f>
        <v/>
      </c>
      <c r="Y343" s="38"/>
      <c r="Z343"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43" s="8"/>
      <c r="AB343" s="64"/>
      <c r="AC343"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43"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43" s="505"/>
      <c r="AF343" s="187"/>
      <c r="AG343" s="200" t="str">
        <f>IF(COUNTA(SalCommune[[#This Row],[N°]:[heures annuelles
selon contrat(s)]])=0,"",REVEX!$E$9)</f>
        <v/>
      </c>
      <c r="AH343" s="73" t="str">
        <f>IF(SalCommune[[#This Row],[Allocations fonctions]]="","",IF(ISNA(VLOOKUP(SalCommune[[#This Row],[Allocations fonctions]],DROPDOWN[Dropdown82],1,FALSE))=TRUE,"&lt;-- Veuillez choisir l'allocation parmis la liste déroulante.",""))</f>
        <v/>
      </c>
    </row>
    <row r="344" spans="1:34" x14ac:dyDescent="0.25">
      <c r="A344" s="73" t="str">
        <f>IF(SalCommune[[#This Row],[Statut]]="","",IF(ISNA(VLOOKUP(SalCommune[[#This Row],[Statut]],'Grille communale'!$B$3:$B$5,1,FALSE))=TRUE,"Veuillez choisir le statut parmis la liste déroulante",""))</f>
        <v/>
      </c>
      <c r="B344" s="8"/>
      <c r="C344" s="8"/>
      <c r="D344" s="8"/>
      <c r="E344" s="21"/>
      <c r="F344" s="8"/>
      <c r="G344" s="8"/>
      <c r="H344" s="9"/>
      <c r="I344" s="9"/>
      <c r="J344" s="9"/>
      <c r="K344" s="10"/>
      <c r="L344" s="10"/>
      <c r="M344" s="9"/>
      <c r="N344" s="9"/>
      <c r="O344" s="9"/>
      <c r="P344"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44" s="9"/>
      <c r="R344" s="9"/>
      <c r="S344" s="38"/>
      <c r="T344" s="38"/>
      <c r="U344" s="38"/>
      <c r="V344" s="38"/>
      <c r="W344" s="38"/>
      <c r="X344" s="67" t="str">
        <f>IF(COUNTA(SalCommune[[#This Row],[N°]:[heures annuelles
selon contrat(s)]])=0,"",SalCommune[[#This Row],[Brut]]+SalCommune[[#This Row],[Autres Primes]]+SalCommune[[#This Row],[Part patronale]]-ABS(SalCommune[[#This Row],[Remboursement Mutualité]])-ABS(SalCommune[[#This Row],[Remboursement
Autres]]))</f>
        <v/>
      </c>
      <c r="Y344" s="38"/>
      <c r="Z344"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44" s="8"/>
      <c r="AB344" s="64"/>
      <c r="AC344"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44"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44" s="505"/>
      <c r="AF344" s="187"/>
      <c r="AG344" s="200" t="str">
        <f>IF(COUNTA(SalCommune[[#This Row],[N°]:[heures annuelles
selon contrat(s)]])=0,"",REVEX!$E$9)</f>
        <v/>
      </c>
      <c r="AH344" s="73" t="str">
        <f>IF(SalCommune[[#This Row],[Allocations fonctions]]="","",IF(ISNA(VLOOKUP(SalCommune[[#This Row],[Allocations fonctions]],DROPDOWN[Dropdown82],1,FALSE))=TRUE,"&lt;-- Veuillez choisir l'allocation parmis la liste déroulante.",""))</f>
        <v/>
      </c>
    </row>
    <row r="345" spans="1:34" x14ac:dyDescent="0.25">
      <c r="A345" s="73" t="str">
        <f>IF(SalCommune[[#This Row],[Statut]]="","",IF(ISNA(VLOOKUP(SalCommune[[#This Row],[Statut]],'Grille communale'!$B$3:$B$5,1,FALSE))=TRUE,"Veuillez choisir le statut parmis la liste déroulante",""))</f>
        <v/>
      </c>
      <c r="B345" s="8"/>
      <c r="C345" s="8"/>
      <c r="D345" s="8"/>
      <c r="E345" s="21"/>
      <c r="F345" s="8"/>
      <c r="G345" s="8"/>
      <c r="H345" s="9"/>
      <c r="I345" s="9"/>
      <c r="J345" s="9"/>
      <c r="K345" s="10"/>
      <c r="L345" s="10"/>
      <c r="M345" s="9"/>
      <c r="N345" s="9"/>
      <c r="O345" s="9"/>
      <c r="P345"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45" s="9"/>
      <c r="R345" s="9"/>
      <c r="S345" s="38"/>
      <c r="T345" s="38"/>
      <c r="U345" s="38"/>
      <c r="V345" s="38"/>
      <c r="W345" s="38"/>
      <c r="X345" s="67" t="str">
        <f>IF(COUNTA(SalCommune[[#This Row],[N°]:[heures annuelles
selon contrat(s)]])=0,"",SalCommune[[#This Row],[Brut]]+SalCommune[[#This Row],[Autres Primes]]+SalCommune[[#This Row],[Part patronale]]-ABS(SalCommune[[#This Row],[Remboursement Mutualité]])-ABS(SalCommune[[#This Row],[Remboursement
Autres]]))</f>
        <v/>
      </c>
      <c r="Y345" s="38"/>
      <c r="Z345"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45" s="8"/>
      <c r="AB345" s="64"/>
      <c r="AC345"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45"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45" s="505"/>
      <c r="AF345" s="187"/>
      <c r="AG345" s="200" t="str">
        <f>IF(COUNTA(SalCommune[[#This Row],[N°]:[heures annuelles
selon contrat(s)]])=0,"",REVEX!$E$9)</f>
        <v/>
      </c>
      <c r="AH345" s="73" t="str">
        <f>IF(SalCommune[[#This Row],[Allocations fonctions]]="","",IF(ISNA(VLOOKUP(SalCommune[[#This Row],[Allocations fonctions]],DROPDOWN[Dropdown82],1,FALSE))=TRUE,"&lt;-- Veuillez choisir l'allocation parmis la liste déroulante.",""))</f>
        <v/>
      </c>
    </row>
    <row r="346" spans="1:34" x14ac:dyDescent="0.25">
      <c r="A346" s="73" t="str">
        <f>IF(SalCommune[[#This Row],[Statut]]="","",IF(ISNA(VLOOKUP(SalCommune[[#This Row],[Statut]],'Grille communale'!$B$3:$B$5,1,FALSE))=TRUE,"Veuillez choisir le statut parmis la liste déroulante",""))</f>
        <v/>
      </c>
      <c r="B346" s="8"/>
      <c r="C346" s="8"/>
      <c r="D346" s="8"/>
      <c r="E346" s="21"/>
      <c r="F346" s="8"/>
      <c r="G346" s="8"/>
      <c r="H346" s="9"/>
      <c r="I346" s="9"/>
      <c r="J346" s="9"/>
      <c r="K346" s="10"/>
      <c r="L346" s="10"/>
      <c r="M346" s="9"/>
      <c r="N346" s="9"/>
      <c r="O346" s="9"/>
      <c r="P346"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46" s="9"/>
      <c r="R346" s="9"/>
      <c r="S346" s="38"/>
      <c r="T346" s="38"/>
      <c r="U346" s="38"/>
      <c r="V346" s="38"/>
      <c r="W346" s="38"/>
      <c r="X346" s="67" t="str">
        <f>IF(COUNTA(SalCommune[[#This Row],[N°]:[heures annuelles
selon contrat(s)]])=0,"",SalCommune[[#This Row],[Brut]]+SalCommune[[#This Row],[Autres Primes]]+SalCommune[[#This Row],[Part patronale]]-ABS(SalCommune[[#This Row],[Remboursement Mutualité]])-ABS(SalCommune[[#This Row],[Remboursement
Autres]]))</f>
        <v/>
      </c>
      <c r="Y346" s="38"/>
      <c r="Z346"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46" s="8"/>
      <c r="AB346" s="64"/>
      <c r="AC346"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46"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46" s="505"/>
      <c r="AF346" s="187"/>
      <c r="AG346" s="200" t="str">
        <f>IF(COUNTA(SalCommune[[#This Row],[N°]:[heures annuelles
selon contrat(s)]])=0,"",REVEX!$E$9)</f>
        <v/>
      </c>
      <c r="AH346" s="73" t="str">
        <f>IF(SalCommune[[#This Row],[Allocations fonctions]]="","",IF(ISNA(VLOOKUP(SalCommune[[#This Row],[Allocations fonctions]],DROPDOWN[Dropdown82],1,FALSE))=TRUE,"&lt;-- Veuillez choisir l'allocation parmis la liste déroulante.",""))</f>
        <v/>
      </c>
    </row>
    <row r="347" spans="1:34" x14ac:dyDescent="0.25">
      <c r="A347" s="73" t="str">
        <f>IF(SalCommune[[#This Row],[Statut]]="","",IF(ISNA(VLOOKUP(SalCommune[[#This Row],[Statut]],'Grille communale'!$B$3:$B$5,1,FALSE))=TRUE,"Veuillez choisir le statut parmis la liste déroulante",""))</f>
        <v/>
      </c>
      <c r="B347" s="8"/>
      <c r="C347" s="8"/>
      <c r="D347" s="8"/>
      <c r="E347" s="21"/>
      <c r="F347" s="8"/>
      <c r="G347" s="8"/>
      <c r="H347" s="9"/>
      <c r="I347" s="9"/>
      <c r="J347" s="9"/>
      <c r="K347" s="10"/>
      <c r="L347" s="10"/>
      <c r="M347" s="9"/>
      <c r="N347" s="9"/>
      <c r="O347" s="9"/>
      <c r="P347"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47" s="9"/>
      <c r="R347" s="9"/>
      <c r="S347" s="38"/>
      <c r="T347" s="38"/>
      <c r="U347" s="38"/>
      <c r="V347" s="38"/>
      <c r="W347" s="38"/>
      <c r="X347" s="67" t="str">
        <f>IF(COUNTA(SalCommune[[#This Row],[N°]:[heures annuelles
selon contrat(s)]])=0,"",SalCommune[[#This Row],[Brut]]+SalCommune[[#This Row],[Autres Primes]]+SalCommune[[#This Row],[Part patronale]]-ABS(SalCommune[[#This Row],[Remboursement Mutualité]])-ABS(SalCommune[[#This Row],[Remboursement
Autres]]))</f>
        <v/>
      </c>
      <c r="Y347" s="38"/>
      <c r="Z347"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47" s="8"/>
      <c r="AB347" s="64"/>
      <c r="AC347"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47"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47" s="505"/>
      <c r="AF347" s="187"/>
      <c r="AG347" s="200" t="str">
        <f>IF(COUNTA(SalCommune[[#This Row],[N°]:[heures annuelles
selon contrat(s)]])=0,"",REVEX!$E$9)</f>
        <v/>
      </c>
      <c r="AH347" s="73" t="str">
        <f>IF(SalCommune[[#This Row],[Allocations fonctions]]="","",IF(ISNA(VLOOKUP(SalCommune[[#This Row],[Allocations fonctions]],DROPDOWN[Dropdown82],1,FALSE))=TRUE,"&lt;-- Veuillez choisir l'allocation parmis la liste déroulante.",""))</f>
        <v/>
      </c>
    </row>
    <row r="348" spans="1:34" x14ac:dyDescent="0.25">
      <c r="A348" s="73" t="str">
        <f>IF(SalCommune[[#This Row],[Statut]]="","",IF(ISNA(VLOOKUP(SalCommune[[#This Row],[Statut]],'Grille communale'!$B$3:$B$5,1,FALSE))=TRUE,"Veuillez choisir le statut parmis la liste déroulante",""))</f>
        <v/>
      </c>
      <c r="B348" s="8"/>
      <c r="C348" s="8"/>
      <c r="D348" s="8"/>
      <c r="E348" s="21"/>
      <c r="F348" s="8"/>
      <c r="G348" s="8"/>
      <c r="H348" s="9"/>
      <c r="I348" s="9"/>
      <c r="J348" s="9"/>
      <c r="K348" s="10"/>
      <c r="L348" s="10"/>
      <c r="M348" s="9"/>
      <c r="N348" s="9"/>
      <c r="O348" s="9"/>
      <c r="P348"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48" s="9"/>
      <c r="R348" s="9"/>
      <c r="S348" s="38"/>
      <c r="T348" s="38"/>
      <c r="U348" s="38"/>
      <c r="V348" s="38"/>
      <c r="W348" s="38"/>
      <c r="X348" s="67" t="str">
        <f>IF(COUNTA(SalCommune[[#This Row],[N°]:[heures annuelles
selon contrat(s)]])=0,"",SalCommune[[#This Row],[Brut]]+SalCommune[[#This Row],[Autres Primes]]+SalCommune[[#This Row],[Part patronale]]-ABS(SalCommune[[#This Row],[Remboursement Mutualité]])-ABS(SalCommune[[#This Row],[Remboursement
Autres]]))</f>
        <v/>
      </c>
      <c r="Y348" s="38"/>
      <c r="Z348"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48" s="8"/>
      <c r="AB348" s="64"/>
      <c r="AC348"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48"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48" s="505"/>
      <c r="AF348" s="187"/>
      <c r="AG348" s="200" t="str">
        <f>IF(COUNTA(SalCommune[[#This Row],[N°]:[heures annuelles
selon contrat(s)]])=0,"",REVEX!$E$9)</f>
        <v/>
      </c>
      <c r="AH348" s="73" t="str">
        <f>IF(SalCommune[[#This Row],[Allocations fonctions]]="","",IF(ISNA(VLOOKUP(SalCommune[[#This Row],[Allocations fonctions]],DROPDOWN[Dropdown82],1,FALSE))=TRUE,"&lt;-- Veuillez choisir l'allocation parmis la liste déroulante.",""))</f>
        <v/>
      </c>
    </row>
    <row r="349" spans="1:34" x14ac:dyDescent="0.25">
      <c r="A349" s="73" t="str">
        <f>IF(SalCommune[[#This Row],[Statut]]="","",IF(ISNA(VLOOKUP(SalCommune[[#This Row],[Statut]],'Grille communale'!$B$3:$B$5,1,FALSE))=TRUE,"Veuillez choisir le statut parmis la liste déroulante",""))</f>
        <v/>
      </c>
      <c r="B349" s="8"/>
      <c r="C349" s="8"/>
      <c r="D349" s="8"/>
      <c r="E349" s="21"/>
      <c r="F349" s="8"/>
      <c r="G349" s="8"/>
      <c r="H349" s="9"/>
      <c r="I349" s="9"/>
      <c r="J349" s="9"/>
      <c r="K349" s="10"/>
      <c r="L349" s="10"/>
      <c r="M349" s="9"/>
      <c r="N349" s="9"/>
      <c r="O349" s="9"/>
      <c r="P349"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49" s="9"/>
      <c r="R349" s="9"/>
      <c r="S349" s="38"/>
      <c r="T349" s="38"/>
      <c r="U349" s="38"/>
      <c r="V349" s="38"/>
      <c r="W349" s="38"/>
      <c r="X349" s="67" t="str">
        <f>IF(COUNTA(SalCommune[[#This Row],[N°]:[heures annuelles
selon contrat(s)]])=0,"",SalCommune[[#This Row],[Brut]]+SalCommune[[#This Row],[Autres Primes]]+SalCommune[[#This Row],[Part patronale]]-ABS(SalCommune[[#This Row],[Remboursement Mutualité]])-ABS(SalCommune[[#This Row],[Remboursement
Autres]]))</f>
        <v/>
      </c>
      <c r="Y349" s="38"/>
      <c r="Z349"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49" s="8"/>
      <c r="AB349" s="64"/>
      <c r="AC349"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49"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49" s="505"/>
      <c r="AF349" s="187"/>
      <c r="AG349" s="200" t="str">
        <f>IF(COUNTA(SalCommune[[#This Row],[N°]:[heures annuelles
selon contrat(s)]])=0,"",REVEX!$E$9)</f>
        <v/>
      </c>
      <c r="AH349" s="73" t="str">
        <f>IF(SalCommune[[#This Row],[Allocations fonctions]]="","",IF(ISNA(VLOOKUP(SalCommune[[#This Row],[Allocations fonctions]],DROPDOWN[Dropdown82],1,FALSE))=TRUE,"&lt;-- Veuillez choisir l'allocation parmis la liste déroulante.",""))</f>
        <v/>
      </c>
    </row>
    <row r="350" spans="1:34" x14ac:dyDescent="0.25">
      <c r="A350" s="73" t="str">
        <f>IF(SalCommune[[#This Row],[Statut]]="","",IF(ISNA(VLOOKUP(SalCommune[[#This Row],[Statut]],'Grille communale'!$B$3:$B$5,1,FALSE))=TRUE,"Veuillez choisir le statut parmis la liste déroulante",""))</f>
        <v/>
      </c>
      <c r="B350" s="8"/>
      <c r="C350" s="8"/>
      <c r="D350" s="8"/>
      <c r="E350" s="21"/>
      <c r="F350" s="8"/>
      <c r="G350" s="8"/>
      <c r="H350" s="9"/>
      <c r="I350" s="9"/>
      <c r="J350" s="9"/>
      <c r="K350" s="10"/>
      <c r="L350" s="10"/>
      <c r="M350" s="9"/>
      <c r="N350" s="9"/>
      <c r="O350" s="9"/>
      <c r="P350"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50" s="9"/>
      <c r="R350" s="9"/>
      <c r="S350" s="38"/>
      <c r="T350" s="38"/>
      <c r="U350" s="38"/>
      <c r="V350" s="38"/>
      <c r="W350" s="38"/>
      <c r="X350" s="67" t="str">
        <f>IF(COUNTA(SalCommune[[#This Row],[N°]:[heures annuelles
selon contrat(s)]])=0,"",SalCommune[[#This Row],[Brut]]+SalCommune[[#This Row],[Autres Primes]]+SalCommune[[#This Row],[Part patronale]]-ABS(SalCommune[[#This Row],[Remboursement Mutualité]])-ABS(SalCommune[[#This Row],[Remboursement
Autres]]))</f>
        <v/>
      </c>
      <c r="Y350" s="38"/>
      <c r="Z350"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50" s="8"/>
      <c r="AB350" s="64"/>
      <c r="AC350"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50"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50" s="505"/>
      <c r="AF350" s="187"/>
      <c r="AG350" s="200" t="str">
        <f>IF(COUNTA(SalCommune[[#This Row],[N°]:[heures annuelles
selon contrat(s)]])=0,"",REVEX!$E$9)</f>
        <v/>
      </c>
      <c r="AH350" s="73" t="str">
        <f>IF(SalCommune[[#This Row],[Allocations fonctions]]="","",IF(ISNA(VLOOKUP(SalCommune[[#This Row],[Allocations fonctions]],DROPDOWN[Dropdown82],1,FALSE))=TRUE,"&lt;-- Veuillez choisir l'allocation parmis la liste déroulante.",""))</f>
        <v/>
      </c>
    </row>
    <row r="351" spans="1:34" x14ac:dyDescent="0.25">
      <c r="A351" s="73" t="str">
        <f>IF(SalCommune[[#This Row],[Statut]]="","",IF(ISNA(VLOOKUP(SalCommune[[#This Row],[Statut]],'Grille communale'!$B$3:$B$5,1,FALSE))=TRUE,"Veuillez choisir le statut parmis la liste déroulante",""))</f>
        <v/>
      </c>
      <c r="B351" s="8"/>
      <c r="C351" s="8"/>
      <c r="D351" s="8"/>
      <c r="E351" s="21"/>
      <c r="F351" s="8"/>
      <c r="G351" s="8"/>
      <c r="H351" s="9"/>
      <c r="I351" s="9"/>
      <c r="J351" s="9"/>
      <c r="K351" s="10"/>
      <c r="L351" s="10"/>
      <c r="M351" s="9"/>
      <c r="N351" s="9"/>
      <c r="O351" s="9"/>
      <c r="P351"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51" s="9"/>
      <c r="R351" s="9"/>
      <c r="S351" s="38"/>
      <c r="T351" s="38"/>
      <c r="U351" s="38"/>
      <c r="V351" s="38"/>
      <c r="W351" s="38"/>
      <c r="X351" s="67" t="str">
        <f>IF(COUNTA(SalCommune[[#This Row],[N°]:[heures annuelles
selon contrat(s)]])=0,"",SalCommune[[#This Row],[Brut]]+SalCommune[[#This Row],[Autres Primes]]+SalCommune[[#This Row],[Part patronale]]-ABS(SalCommune[[#This Row],[Remboursement Mutualité]])-ABS(SalCommune[[#This Row],[Remboursement
Autres]]))</f>
        <v/>
      </c>
      <c r="Y351" s="38"/>
      <c r="Z351"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51" s="8"/>
      <c r="AB351" s="64"/>
      <c r="AC351"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51"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51" s="505"/>
      <c r="AF351" s="187"/>
      <c r="AG351" s="200" t="str">
        <f>IF(COUNTA(SalCommune[[#This Row],[N°]:[heures annuelles
selon contrat(s)]])=0,"",REVEX!$E$9)</f>
        <v/>
      </c>
      <c r="AH351" s="73" t="str">
        <f>IF(SalCommune[[#This Row],[Allocations fonctions]]="","",IF(ISNA(VLOOKUP(SalCommune[[#This Row],[Allocations fonctions]],DROPDOWN[Dropdown82],1,FALSE))=TRUE,"&lt;-- Veuillez choisir l'allocation parmis la liste déroulante.",""))</f>
        <v/>
      </c>
    </row>
    <row r="352" spans="1:34" x14ac:dyDescent="0.25">
      <c r="A352" s="73" t="str">
        <f>IF(SalCommune[[#This Row],[Statut]]="","",IF(ISNA(VLOOKUP(SalCommune[[#This Row],[Statut]],'Grille communale'!$B$3:$B$5,1,FALSE))=TRUE,"Veuillez choisir le statut parmis la liste déroulante",""))</f>
        <v/>
      </c>
      <c r="B352" s="8"/>
      <c r="C352" s="8"/>
      <c r="D352" s="8"/>
      <c r="E352" s="21"/>
      <c r="F352" s="8"/>
      <c r="G352" s="8"/>
      <c r="H352" s="9"/>
      <c r="I352" s="9"/>
      <c r="J352" s="9"/>
      <c r="K352" s="10"/>
      <c r="L352" s="10"/>
      <c r="M352" s="9"/>
      <c r="N352" s="9"/>
      <c r="O352" s="9"/>
      <c r="P352"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52" s="9"/>
      <c r="R352" s="9"/>
      <c r="S352" s="38"/>
      <c r="T352" s="38"/>
      <c r="U352" s="38"/>
      <c r="V352" s="38"/>
      <c r="W352" s="38"/>
      <c r="X352" s="67" t="str">
        <f>IF(COUNTA(SalCommune[[#This Row],[N°]:[heures annuelles
selon contrat(s)]])=0,"",SalCommune[[#This Row],[Brut]]+SalCommune[[#This Row],[Autres Primes]]+SalCommune[[#This Row],[Part patronale]]-ABS(SalCommune[[#This Row],[Remboursement Mutualité]])-ABS(SalCommune[[#This Row],[Remboursement
Autres]]))</f>
        <v/>
      </c>
      <c r="Y352" s="38"/>
      <c r="Z352"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52" s="8"/>
      <c r="AB352" s="64"/>
      <c r="AC352"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52"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52" s="505"/>
      <c r="AF352" s="187"/>
      <c r="AG352" s="200" t="str">
        <f>IF(COUNTA(SalCommune[[#This Row],[N°]:[heures annuelles
selon contrat(s)]])=0,"",REVEX!$E$9)</f>
        <v/>
      </c>
      <c r="AH352" s="73" t="str">
        <f>IF(SalCommune[[#This Row],[Allocations fonctions]]="","",IF(ISNA(VLOOKUP(SalCommune[[#This Row],[Allocations fonctions]],DROPDOWN[Dropdown82],1,FALSE))=TRUE,"&lt;-- Veuillez choisir l'allocation parmis la liste déroulante.",""))</f>
        <v/>
      </c>
    </row>
    <row r="353" spans="1:34" x14ac:dyDescent="0.25">
      <c r="A353" s="73" t="str">
        <f>IF(SalCommune[[#This Row],[Statut]]="","",IF(ISNA(VLOOKUP(SalCommune[[#This Row],[Statut]],'Grille communale'!$B$3:$B$5,1,FALSE))=TRUE,"Veuillez choisir le statut parmis la liste déroulante",""))</f>
        <v/>
      </c>
      <c r="B353" s="8"/>
      <c r="C353" s="8"/>
      <c r="D353" s="8"/>
      <c r="E353" s="21"/>
      <c r="F353" s="8"/>
      <c r="G353" s="8"/>
      <c r="H353" s="9"/>
      <c r="I353" s="9"/>
      <c r="J353" s="9"/>
      <c r="K353" s="10"/>
      <c r="L353" s="10"/>
      <c r="M353" s="9"/>
      <c r="N353" s="9"/>
      <c r="O353" s="9"/>
      <c r="P353"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53" s="9"/>
      <c r="R353" s="9"/>
      <c r="S353" s="38"/>
      <c r="T353" s="38"/>
      <c r="U353" s="38"/>
      <c r="V353" s="38"/>
      <c r="W353" s="38"/>
      <c r="X353" s="67" t="str">
        <f>IF(COUNTA(SalCommune[[#This Row],[N°]:[heures annuelles
selon contrat(s)]])=0,"",SalCommune[[#This Row],[Brut]]+SalCommune[[#This Row],[Autres Primes]]+SalCommune[[#This Row],[Part patronale]]-ABS(SalCommune[[#This Row],[Remboursement Mutualité]])-ABS(SalCommune[[#This Row],[Remboursement
Autres]]))</f>
        <v/>
      </c>
      <c r="Y353" s="38"/>
      <c r="Z353"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53" s="8"/>
      <c r="AB353" s="64"/>
      <c r="AC353"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53"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53" s="505"/>
      <c r="AF353" s="187"/>
      <c r="AG353" s="200" t="str">
        <f>IF(COUNTA(SalCommune[[#This Row],[N°]:[heures annuelles
selon contrat(s)]])=0,"",REVEX!$E$9)</f>
        <v/>
      </c>
      <c r="AH353" s="73" t="str">
        <f>IF(SalCommune[[#This Row],[Allocations fonctions]]="","",IF(ISNA(VLOOKUP(SalCommune[[#This Row],[Allocations fonctions]],DROPDOWN[Dropdown82],1,FALSE))=TRUE,"&lt;-- Veuillez choisir l'allocation parmis la liste déroulante.",""))</f>
        <v/>
      </c>
    </row>
    <row r="354" spans="1:34" x14ac:dyDescent="0.25">
      <c r="A354" s="73" t="str">
        <f>IF(SalCommune[[#This Row],[Statut]]="","",IF(ISNA(VLOOKUP(SalCommune[[#This Row],[Statut]],'Grille communale'!$B$3:$B$5,1,FALSE))=TRUE,"Veuillez choisir le statut parmis la liste déroulante",""))</f>
        <v/>
      </c>
      <c r="B354" s="8"/>
      <c r="C354" s="8"/>
      <c r="D354" s="8"/>
      <c r="E354" s="21"/>
      <c r="F354" s="8"/>
      <c r="G354" s="8"/>
      <c r="H354" s="9"/>
      <c r="I354" s="9"/>
      <c r="J354" s="9"/>
      <c r="K354" s="10"/>
      <c r="L354" s="10"/>
      <c r="M354" s="9"/>
      <c r="N354" s="9"/>
      <c r="O354" s="9"/>
      <c r="P354"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54" s="9"/>
      <c r="R354" s="9"/>
      <c r="S354" s="38"/>
      <c r="T354" s="38"/>
      <c r="U354" s="38"/>
      <c r="V354" s="38"/>
      <c r="W354" s="38"/>
      <c r="X354" s="67" t="str">
        <f>IF(COUNTA(SalCommune[[#This Row],[N°]:[heures annuelles
selon contrat(s)]])=0,"",SalCommune[[#This Row],[Brut]]+SalCommune[[#This Row],[Autres Primes]]+SalCommune[[#This Row],[Part patronale]]-ABS(SalCommune[[#This Row],[Remboursement Mutualité]])-ABS(SalCommune[[#This Row],[Remboursement
Autres]]))</f>
        <v/>
      </c>
      <c r="Y354" s="38"/>
      <c r="Z354"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54" s="8"/>
      <c r="AB354" s="64"/>
      <c r="AC354"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54"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54" s="505"/>
      <c r="AF354" s="187"/>
      <c r="AG354" s="200" t="str">
        <f>IF(COUNTA(SalCommune[[#This Row],[N°]:[heures annuelles
selon contrat(s)]])=0,"",REVEX!$E$9)</f>
        <v/>
      </c>
      <c r="AH354" s="73" t="str">
        <f>IF(SalCommune[[#This Row],[Allocations fonctions]]="","",IF(ISNA(VLOOKUP(SalCommune[[#This Row],[Allocations fonctions]],DROPDOWN[Dropdown82],1,FALSE))=TRUE,"&lt;-- Veuillez choisir l'allocation parmis la liste déroulante.",""))</f>
        <v/>
      </c>
    </row>
    <row r="355" spans="1:34" x14ac:dyDescent="0.25">
      <c r="A355" s="73" t="str">
        <f>IF(SalCommune[[#This Row],[Statut]]="","",IF(ISNA(VLOOKUP(SalCommune[[#This Row],[Statut]],'Grille communale'!$B$3:$B$5,1,FALSE))=TRUE,"Veuillez choisir le statut parmis la liste déroulante",""))</f>
        <v/>
      </c>
      <c r="B355" s="8"/>
      <c r="C355" s="8"/>
      <c r="D355" s="8"/>
      <c r="E355" s="21"/>
      <c r="F355" s="8"/>
      <c r="G355" s="8"/>
      <c r="H355" s="9"/>
      <c r="I355" s="9"/>
      <c r="J355" s="9"/>
      <c r="K355" s="10"/>
      <c r="L355" s="10"/>
      <c r="M355" s="9"/>
      <c r="N355" s="9"/>
      <c r="O355" s="9"/>
      <c r="P355"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55" s="9"/>
      <c r="R355" s="9"/>
      <c r="S355" s="38"/>
      <c r="T355" s="38"/>
      <c r="U355" s="38"/>
      <c r="V355" s="38"/>
      <c r="W355" s="38"/>
      <c r="X355" s="67" t="str">
        <f>IF(COUNTA(SalCommune[[#This Row],[N°]:[heures annuelles
selon contrat(s)]])=0,"",SalCommune[[#This Row],[Brut]]+SalCommune[[#This Row],[Autres Primes]]+SalCommune[[#This Row],[Part patronale]]-ABS(SalCommune[[#This Row],[Remboursement Mutualité]])-ABS(SalCommune[[#This Row],[Remboursement
Autres]]))</f>
        <v/>
      </c>
      <c r="Y355" s="38"/>
      <c r="Z355"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55" s="8"/>
      <c r="AB355" s="64"/>
      <c r="AC355"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55"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55" s="505"/>
      <c r="AF355" s="187"/>
      <c r="AG355" s="200" t="str">
        <f>IF(COUNTA(SalCommune[[#This Row],[N°]:[heures annuelles
selon contrat(s)]])=0,"",REVEX!$E$9)</f>
        <v/>
      </c>
      <c r="AH355" s="73" t="str">
        <f>IF(SalCommune[[#This Row],[Allocations fonctions]]="","",IF(ISNA(VLOOKUP(SalCommune[[#This Row],[Allocations fonctions]],DROPDOWN[Dropdown82],1,FALSE))=TRUE,"&lt;-- Veuillez choisir l'allocation parmis la liste déroulante.",""))</f>
        <v/>
      </c>
    </row>
    <row r="356" spans="1:34" x14ac:dyDescent="0.25">
      <c r="A356" s="73" t="str">
        <f>IF(SalCommune[[#This Row],[Statut]]="","",IF(ISNA(VLOOKUP(SalCommune[[#This Row],[Statut]],'Grille communale'!$B$3:$B$5,1,FALSE))=TRUE,"Veuillez choisir le statut parmis la liste déroulante",""))</f>
        <v/>
      </c>
      <c r="B356" s="8"/>
      <c r="C356" s="8"/>
      <c r="D356" s="8"/>
      <c r="E356" s="21"/>
      <c r="F356" s="8"/>
      <c r="G356" s="8"/>
      <c r="H356" s="9"/>
      <c r="I356" s="9"/>
      <c r="J356" s="9"/>
      <c r="K356" s="10"/>
      <c r="L356" s="10"/>
      <c r="M356" s="9"/>
      <c r="N356" s="9"/>
      <c r="O356" s="9"/>
      <c r="P356"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56" s="9"/>
      <c r="R356" s="9"/>
      <c r="S356" s="38"/>
      <c r="T356" s="38"/>
      <c r="U356" s="38"/>
      <c r="V356" s="38"/>
      <c r="W356" s="38"/>
      <c r="X356" s="67" t="str">
        <f>IF(COUNTA(SalCommune[[#This Row],[N°]:[heures annuelles
selon contrat(s)]])=0,"",SalCommune[[#This Row],[Brut]]+SalCommune[[#This Row],[Autres Primes]]+SalCommune[[#This Row],[Part patronale]]-ABS(SalCommune[[#This Row],[Remboursement Mutualité]])-ABS(SalCommune[[#This Row],[Remboursement
Autres]]))</f>
        <v/>
      </c>
      <c r="Y356" s="38"/>
      <c r="Z356"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56" s="8"/>
      <c r="AB356" s="64"/>
      <c r="AC356"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56"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56" s="505"/>
      <c r="AF356" s="187"/>
      <c r="AG356" s="200" t="str">
        <f>IF(COUNTA(SalCommune[[#This Row],[N°]:[heures annuelles
selon contrat(s)]])=0,"",REVEX!$E$9)</f>
        <v/>
      </c>
      <c r="AH356" s="73" t="str">
        <f>IF(SalCommune[[#This Row],[Allocations fonctions]]="","",IF(ISNA(VLOOKUP(SalCommune[[#This Row],[Allocations fonctions]],DROPDOWN[Dropdown82],1,FALSE))=TRUE,"&lt;-- Veuillez choisir l'allocation parmis la liste déroulante.",""))</f>
        <v/>
      </c>
    </row>
    <row r="357" spans="1:34" x14ac:dyDescent="0.25">
      <c r="A357" s="73" t="str">
        <f>IF(SalCommune[[#This Row],[Statut]]="","",IF(ISNA(VLOOKUP(SalCommune[[#This Row],[Statut]],'Grille communale'!$B$3:$B$5,1,FALSE))=TRUE,"Veuillez choisir le statut parmis la liste déroulante",""))</f>
        <v/>
      </c>
      <c r="B357" s="8"/>
      <c r="C357" s="8"/>
      <c r="D357" s="8"/>
      <c r="E357" s="21"/>
      <c r="F357" s="8"/>
      <c r="G357" s="8"/>
      <c r="H357" s="9"/>
      <c r="I357" s="9"/>
      <c r="J357" s="9"/>
      <c r="K357" s="10"/>
      <c r="L357" s="10"/>
      <c r="M357" s="9"/>
      <c r="N357" s="9"/>
      <c r="O357" s="9"/>
      <c r="P357"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57" s="9"/>
      <c r="R357" s="9"/>
      <c r="S357" s="38"/>
      <c r="T357" s="38"/>
      <c r="U357" s="38"/>
      <c r="V357" s="38"/>
      <c r="W357" s="38"/>
      <c r="X357" s="67" t="str">
        <f>IF(COUNTA(SalCommune[[#This Row],[N°]:[heures annuelles
selon contrat(s)]])=0,"",SalCommune[[#This Row],[Brut]]+SalCommune[[#This Row],[Autres Primes]]+SalCommune[[#This Row],[Part patronale]]-ABS(SalCommune[[#This Row],[Remboursement Mutualité]])-ABS(SalCommune[[#This Row],[Remboursement
Autres]]))</f>
        <v/>
      </c>
      <c r="Y357" s="38"/>
      <c r="Z357"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57" s="8"/>
      <c r="AB357" s="64"/>
      <c r="AC357"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57"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57" s="505"/>
      <c r="AF357" s="187"/>
      <c r="AG357" s="200" t="str">
        <f>IF(COUNTA(SalCommune[[#This Row],[N°]:[heures annuelles
selon contrat(s)]])=0,"",REVEX!$E$9)</f>
        <v/>
      </c>
      <c r="AH357" s="73" t="str">
        <f>IF(SalCommune[[#This Row],[Allocations fonctions]]="","",IF(ISNA(VLOOKUP(SalCommune[[#This Row],[Allocations fonctions]],DROPDOWN[Dropdown82],1,FALSE))=TRUE,"&lt;-- Veuillez choisir l'allocation parmis la liste déroulante.",""))</f>
        <v/>
      </c>
    </row>
    <row r="358" spans="1:34" x14ac:dyDescent="0.25">
      <c r="A358" s="73" t="str">
        <f>IF(SalCommune[[#This Row],[Statut]]="","",IF(ISNA(VLOOKUP(SalCommune[[#This Row],[Statut]],'Grille communale'!$B$3:$B$5,1,FALSE))=TRUE,"Veuillez choisir le statut parmis la liste déroulante",""))</f>
        <v/>
      </c>
      <c r="B358" s="8"/>
      <c r="C358" s="8"/>
      <c r="D358" s="8"/>
      <c r="E358" s="21"/>
      <c r="F358" s="8"/>
      <c r="G358" s="8"/>
      <c r="H358" s="9"/>
      <c r="I358" s="9"/>
      <c r="J358" s="9"/>
      <c r="K358" s="10"/>
      <c r="L358" s="10"/>
      <c r="M358" s="9"/>
      <c r="N358" s="9"/>
      <c r="O358" s="9"/>
      <c r="P358"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58" s="9"/>
      <c r="R358" s="9"/>
      <c r="S358" s="38"/>
      <c r="T358" s="38"/>
      <c r="U358" s="38"/>
      <c r="V358" s="38"/>
      <c r="W358" s="38"/>
      <c r="X358" s="67" t="str">
        <f>IF(COUNTA(SalCommune[[#This Row],[N°]:[heures annuelles
selon contrat(s)]])=0,"",SalCommune[[#This Row],[Brut]]+SalCommune[[#This Row],[Autres Primes]]+SalCommune[[#This Row],[Part patronale]]-ABS(SalCommune[[#This Row],[Remboursement Mutualité]])-ABS(SalCommune[[#This Row],[Remboursement
Autres]]))</f>
        <v/>
      </c>
      <c r="Y358" s="38"/>
      <c r="Z358"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58" s="8"/>
      <c r="AB358" s="64"/>
      <c r="AC358"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58"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58" s="505"/>
      <c r="AF358" s="187"/>
      <c r="AG358" s="200" t="str">
        <f>IF(COUNTA(SalCommune[[#This Row],[N°]:[heures annuelles
selon contrat(s)]])=0,"",REVEX!$E$9)</f>
        <v/>
      </c>
      <c r="AH358" s="73" t="str">
        <f>IF(SalCommune[[#This Row],[Allocations fonctions]]="","",IF(ISNA(VLOOKUP(SalCommune[[#This Row],[Allocations fonctions]],DROPDOWN[Dropdown82],1,FALSE))=TRUE,"&lt;-- Veuillez choisir l'allocation parmis la liste déroulante.",""))</f>
        <v/>
      </c>
    </row>
    <row r="359" spans="1:34" x14ac:dyDescent="0.25">
      <c r="A359" s="73" t="str">
        <f>IF(SalCommune[[#This Row],[Statut]]="","",IF(ISNA(VLOOKUP(SalCommune[[#This Row],[Statut]],'Grille communale'!$B$3:$B$5,1,FALSE))=TRUE,"Veuillez choisir le statut parmis la liste déroulante",""))</f>
        <v/>
      </c>
      <c r="B359" s="8"/>
      <c r="C359" s="8"/>
      <c r="D359" s="8"/>
      <c r="E359" s="21"/>
      <c r="F359" s="8"/>
      <c r="G359" s="8"/>
      <c r="H359" s="9"/>
      <c r="I359" s="9"/>
      <c r="J359" s="9"/>
      <c r="K359" s="10"/>
      <c r="L359" s="10"/>
      <c r="M359" s="9"/>
      <c r="N359" s="9"/>
      <c r="O359" s="9"/>
      <c r="P359"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59" s="9"/>
      <c r="R359" s="9"/>
      <c r="S359" s="38"/>
      <c r="T359" s="38"/>
      <c r="U359" s="38"/>
      <c r="V359" s="38"/>
      <c r="W359" s="38"/>
      <c r="X359" s="67" t="str">
        <f>IF(COUNTA(SalCommune[[#This Row],[N°]:[heures annuelles
selon contrat(s)]])=0,"",SalCommune[[#This Row],[Brut]]+SalCommune[[#This Row],[Autres Primes]]+SalCommune[[#This Row],[Part patronale]]-ABS(SalCommune[[#This Row],[Remboursement Mutualité]])-ABS(SalCommune[[#This Row],[Remboursement
Autres]]))</f>
        <v/>
      </c>
      <c r="Y359" s="38"/>
      <c r="Z359"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59" s="8"/>
      <c r="AB359" s="64"/>
      <c r="AC359"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59"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59" s="505"/>
      <c r="AF359" s="187"/>
      <c r="AG359" s="200" t="str">
        <f>IF(COUNTA(SalCommune[[#This Row],[N°]:[heures annuelles
selon contrat(s)]])=0,"",REVEX!$E$9)</f>
        <v/>
      </c>
      <c r="AH359" s="73" t="str">
        <f>IF(SalCommune[[#This Row],[Allocations fonctions]]="","",IF(ISNA(VLOOKUP(SalCommune[[#This Row],[Allocations fonctions]],DROPDOWN[Dropdown82],1,FALSE))=TRUE,"&lt;-- Veuillez choisir l'allocation parmis la liste déroulante.",""))</f>
        <v/>
      </c>
    </row>
    <row r="360" spans="1:34" x14ac:dyDescent="0.25">
      <c r="A360" s="73" t="str">
        <f>IF(SalCommune[[#This Row],[Statut]]="","",IF(ISNA(VLOOKUP(SalCommune[[#This Row],[Statut]],'Grille communale'!$B$3:$B$5,1,FALSE))=TRUE,"Veuillez choisir le statut parmis la liste déroulante",""))</f>
        <v/>
      </c>
      <c r="B360" s="8"/>
      <c r="C360" s="8"/>
      <c r="D360" s="8"/>
      <c r="E360" s="21"/>
      <c r="F360" s="8"/>
      <c r="G360" s="8"/>
      <c r="H360" s="9"/>
      <c r="I360" s="9"/>
      <c r="J360" s="9"/>
      <c r="K360" s="10"/>
      <c r="L360" s="10"/>
      <c r="M360" s="9"/>
      <c r="N360" s="9"/>
      <c r="O360" s="9"/>
      <c r="P360"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60" s="9"/>
      <c r="R360" s="9"/>
      <c r="S360" s="38"/>
      <c r="T360" s="38"/>
      <c r="U360" s="38"/>
      <c r="V360" s="38"/>
      <c r="W360" s="38"/>
      <c r="X360" s="67" t="str">
        <f>IF(COUNTA(SalCommune[[#This Row],[N°]:[heures annuelles
selon contrat(s)]])=0,"",SalCommune[[#This Row],[Brut]]+SalCommune[[#This Row],[Autres Primes]]+SalCommune[[#This Row],[Part patronale]]-ABS(SalCommune[[#This Row],[Remboursement Mutualité]])-ABS(SalCommune[[#This Row],[Remboursement
Autres]]))</f>
        <v/>
      </c>
      <c r="Y360" s="38"/>
      <c r="Z360"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60" s="8"/>
      <c r="AB360" s="64"/>
      <c r="AC360"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60"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60" s="505"/>
      <c r="AF360" s="187"/>
      <c r="AG360" s="200" t="str">
        <f>IF(COUNTA(SalCommune[[#This Row],[N°]:[heures annuelles
selon contrat(s)]])=0,"",REVEX!$E$9)</f>
        <v/>
      </c>
      <c r="AH360" s="73" t="str">
        <f>IF(SalCommune[[#This Row],[Allocations fonctions]]="","",IF(ISNA(VLOOKUP(SalCommune[[#This Row],[Allocations fonctions]],DROPDOWN[Dropdown82],1,FALSE))=TRUE,"&lt;-- Veuillez choisir l'allocation parmis la liste déroulante.",""))</f>
        <v/>
      </c>
    </row>
    <row r="361" spans="1:34" x14ac:dyDescent="0.25">
      <c r="A361" s="73" t="str">
        <f>IF(SalCommune[[#This Row],[Statut]]="","",IF(ISNA(VLOOKUP(SalCommune[[#This Row],[Statut]],'Grille communale'!$B$3:$B$5,1,FALSE))=TRUE,"Veuillez choisir le statut parmis la liste déroulante",""))</f>
        <v/>
      </c>
      <c r="B361" s="8"/>
      <c r="C361" s="8"/>
      <c r="D361" s="8"/>
      <c r="E361" s="21"/>
      <c r="F361" s="8"/>
      <c r="G361" s="8"/>
      <c r="H361" s="9"/>
      <c r="I361" s="9"/>
      <c r="J361" s="9"/>
      <c r="K361" s="10"/>
      <c r="L361" s="10"/>
      <c r="M361" s="9"/>
      <c r="N361" s="9"/>
      <c r="O361" s="9"/>
      <c r="P361"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61" s="9"/>
      <c r="R361" s="9"/>
      <c r="S361" s="38"/>
      <c r="T361" s="38"/>
      <c r="U361" s="38"/>
      <c r="V361" s="38"/>
      <c r="W361" s="38"/>
      <c r="X361" s="67" t="str">
        <f>IF(COUNTA(SalCommune[[#This Row],[N°]:[heures annuelles
selon contrat(s)]])=0,"",SalCommune[[#This Row],[Brut]]+SalCommune[[#This Row],[Autres Primes]]+SalCommune[[#This Row],[Part patronale]]-ABS(SalCommune[[#This Row],[Remboursement Mutualité]])-ABS(SalCommune[[#This Row],[Remboursement
Autres]]))</f>
        <v/>
      </c>
      <c r="Y361" s="38"/>
      <c r="Z361"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61" s="8"/>
      <c r="AB361" s="64"/>
      <c r="AC361"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61"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61" s="505"/>
      <c r="AF361" s="187"/>
      <c r="AG361" s="200" t="str">
        <f>IF(COUNTA(SalCommune[[#This Row],[N°]:[heures annuelles
selon contrat(s)]])=0,"",REVEX!$E$9)</f>
        <v/>
      </c>
      <c r="AH361" s="73" t="str">
        <f>IF(SalCommune[[#This Row],[Allocations fonctions]]="","",IF(ISNA(VLOOKUP(SalCommune[[#This Row],[Allocations fonctions]],DROPDOWN[Dropdown82],1,FALSE))=TRUE,"&lt;-- Veuillez choisir l'allocation parmis la liste déroulante.",""))</f>
        <v/>
      </c>
    </row>
    <row r="362" spans="1:34" x14ac:dyDescent="0.25">
      <c r="A362" s="73" t="str">
        <f>IF(SalCommune[[#This Row],[Statut]]="","",IF(ISNA(VLOOKUP(SalCommune[[#This Row],[Statut]],'Grille communale'!$B$3:$B$5,1,FALSE))=TRUE,"Veuillez choisir le statut parmis la liste déroulante",""))</f>
        <v/>
      </c>
      <c r="B362" s="8"/>
      <c r="C362" s="8"/>
      <c r="D362" s="8"/>
      <c r="E362" s="21"/>
      <c r="F362" s="8"/>
      <c r="G362" s="8"/>
      <c r="H362" s="9"/>
      <c r="I362" s="9"/>
      <c r="J362" s="9"/>
      <c r="K362" s="10"/>
      <c r="L362" s="10"/>
      <c r="M362" s="9"/>
      <c r="N362" s="9"/>
      <c r="O362" s="9"/>
      <c r="P362"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62" s="9"/>
      <c r="R362" s="9"/>
      <c r="S362" s="38"/>
      <c r="T362" s="38"/>
      <c r="U362" s="38"/>
      <c r="V362" s="38"/>
      <c r="W362" s="38"/>
      <c r="X362" s="67" t="str">
        <f>IF(COUNTA(SalCommune[[#This Row],[N°]:[heures annuelles
selon contrat(s)]])=0,"",SalCommune[[#This Row],[Brut]]+SalCommune[[#This Row],[Autres Primes]]+SalCommune[[#This Row],[Part patronale]]-ABS(SalCommune[[#This Row],[Remboursement Mutualité]])-ABS(SalCommune[[#This Row],[Remboursement
Autres]]))</f>
        <v/>
      </c>
      <c r="Y362" s="38"/>
      <c r="Z362"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62" s="8"/>
      <c r="AB362" s="64"/>
      <c r="AC362"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62"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62" s="505"/>
      <c r="AF362" s="187"/>
      <c r="AG362" s="200" t="str">
        <f>IF(COUNTA(SalCommune[[#This Row],[N°]:[heures annuelles
selon contrat(s)]])=0,"",REVEX!$E$9)</f>
        <v/>
      </c>
      <c r="AH362" s="73" t="str">
        <f>IF(SalCommune[[#This Row],[Allocations fonctions]]="","",IF(ISNA(VLOOKUP(SalCommune[[#This Row],[Allocations fonctions]],DROPDOWN[Dropdown82],1,FALSE))=TRUE,"&lt;-- Veuillez choisir l'allocation parmis la liste déroulante.",""))</f>
        <v/>
      </c>
    </row>
    <row r="363" spans="1:34" x14ac:dyDescent="0.25">
      <c r="A363" s="73" t="str">
        <f>IF(SalCommune[[#This Row],[Statut]]="","",IF(ISNA(VLOOKUP(SalCommune[[#This Row],[Statut]],'Grille communale'!$B$3:$B$5,1,FALSE))=TRUE,"Veuillez choisir le statut parmis la liste déroulante",""))</f>
        <v/>
      </c>
      <c r="B363" s="8"/>
      <c r="C363" s="8"/>
      <c r="D363" s="8"/>
      <c r="E363" s="21"/>
      <c r="F363" s="8"/>
      <c r="G363" s="8"/>
      <c r="H363" s="9"/>
      <c r="I363" s="9"/>
      <c r="J363" s="9"/>
      <c r="K363" s="10"/>
      <c r="L363" s="10"/>
      <c r="M363" s="9"/>
      <c r="N363" s="9"/>
      <c r="O363" s="9"/>
      <c r="P363"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63" s="9"/>
      <c r="R363" s="9"/>
      <c r="S363" s="38"/>
      <c r="T363" s="38"/>
      <c r="U363" s="38"/>
      <c r="V363" s="38"/>
      <c r="W363" s="38"/>
      <c r="X363" s="67" t="str">
        <f>IF(COUNTA(SalCommune[[#This Row],[N°]:[heures annuelles
selon contrat(s)]])=0,"",SalCommune[[#This Row],[Brut]]+SalCommune[[#This Row],[Autres Primes]]+SalCommune[[#This Row],[Part patronale]]-ABS(SalCommune[[#This Row],[Remboursement Mutualité]])-ABS(SalCommune[[#This Row],[Remboursement
Autres]]))</f>
        <v/>
      </c>
      <c r="Y363" s="38"/>
      <c r="Z363"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63" s="8"/>
      <c r="AB363" s="64"/>
      <c r="AC363"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63"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63" s="505"/>
      <c r="AF363" s="187"/>
      <c r="AG363" s="200" t="str">
        <f>IF(COUNTA(SalCommune[[#This Row],[N°]:[heures annuelles
selon contrat(s)]])=0,"",REVEX!$E$9)</f>
        <v/>
      </c>
      <c r="AH363" s="73" t="str">
        <f>IF(SalCommune[[#This Row],[Allocations fonctions]]="","",IF(ISNA(VLOOKUP(SalCommune[[#This Row],[Allocations fonctions]],DROPDOWN[Dropdown82],1,FALSE))=TRUE,"&lt;-- Veuillez choisir l'allocation parmis la liste déroulante.",""))</f>
        <v/>
      </c>
    </row>
    <row r="364" spans="1:34" x14ac:dyDescent="0.25">
      <c r="A364" s="73" t="str">
        <f>IF(SalCommune[[#This Row],[Statut]]="","",IF(ISNA(VLOOKUP(SalCommune[[#This Row],[Statut]],'Grille communale'!$B$3:$B$5,1,FALSE))=TRUE,"Veuillez choisir le statut parmis la liste déroulante",""))</f>
        <v/>
      </c>
      <c r="B364" s="8"/>
      <c r="C364" s="8"/>
      <c r="D364" s="8"/>
      <c r="E364" s="21"/>
      <c r="F364" s="8"/>
      <c r="G364" s="8"/>
      <c r="H364" s="9"/>
      <c r="I364" s="9"/>
      <c r="J364" s="9"/>
      <c r="K364" s="10"/>
      <c r="L364" s="10"/>
      <c r="M364" s="9"/>
      <c r="N364" s="9"/>
      <c r="O364" s="9"/>
      <c r="P364"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64" s="9"/>
      <c r="R364" s="9"/>
      <c r="S364" s="38"/>
      <c r="T364" s="38"/>
      <c r="U364" s="38"/>
      <c r="V364" s="38"/>
      <c r="W364" s="38"/>
      <c r="X364" s="67" t="str">
        <f>IF(COUNTA(SalCommune[[#This Row],[N°]:[heures annuelles
selon contrat(s)]])=0,"",SalCommune[[#This Row],[Brut]]+SalCommune[[#This Row],[Autres Primes]]+SalCommune[[#This Row],[Part patronale]]-ABS(SalCommune[[#This Row],[Remboursement Mutualité]])-ABS(SalCommune[[#This Row],[Remboursement
Autres]]))</f>
        <v/>
      </c>
      <c r="Y364" s="38"/>
      <c r="Z364"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64" s="8"/>
      <c r="AB364" s="64"/>
      <c r="AC364"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64"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64" s="505"/>
      <c r="AF364" s="187"/>
      <c r="AG364" s="200" t="str">
        <f>IF(COUNTA(SalCommune[[#This Row],[N°]:[heures annuelles
selon contrat(s)]])=0,"",REVEX!$E$9)</f>
        <v/>
      </c>
      <c r="AH364" s="73" t="str">
        <f>IF(SalCommune[[#This Row],[Allocations fonctions]]="","",IF(ISNA(VLOOKUP(SalCommune[[#This Row],[Allocations fonctions]],DROPDOWN[Dropdown82],1,FALSE))=TRUE,"&lt;-- Veuillez choisir l'allocation parmis la liste déroulante.",""))</f>
        <v/>
      </c>
    </row>
    <row r="365" spans="1:34" x14ac:dyDescent="0.25">
      <c r="A365" s="73" t="str">
        <f>IF(SalCommune[[#This Row],[Statut]]="","",IF(ISNA(VLOOKUP(SalCommune[[#This Row],[Statut]],'Grille communale'!$B$3:$B$5,1,FALSE))=TRUE,"Veuillez choisir le statut parmis la liste déroulante",""))</f>
        <v/>
      </c>
      <c r="B365" s="8"/>
      <c r="C365" s="8"/>
      <c r="D365" s="8"/>
      <c r="E365" s="21"/>
      <c r="F365" s="8"/>
      <c r="G365" s="8"/>
      <c r="H365" s="9"/>
      <c r="I365" s="9"/>
      <c r="J365" s="9"/>
      <c r="K365" s="10"/>
      <c r="L365" s="10"/>
      <c r="M365" s="9"/>
      <c r="N365" s="9"/>
      <c r="O365" s="9"/>
      <c r="P365"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65" s="9"/>
      <c r="R365" s="9"/>
      <c r="S365" s="38"/>
      <c r="T365" s="38"/>
      <c r="U365" s="38"/>
      <c r="V365" s="38"/>
      <c r="W365" s="38"/>
      <c r="X365" s="67" t="str">
        <f>IF(COUNTA(SalCommune[[#This Row],[N°]:[heures annuelles
selon contrat(s)]])=0,"",SalCommune[[#This Row],[Brut]]+SalCommune[[#This Row],[Autres Primes]]+SalCommune[[#This Row],[Part patronale]]-ABS(SalCommune[[#This Row],[Remboursement Mutualité]])-ABS(SalCommune[[#This Row],[Remboursement
Autres]]))</f>
        <v/>
      </c>
      <c r="Y365" s="38"/>
      <c r="Z365"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65" s="8"/>
      <c r="AB365" s="64"/>
      <c r="AC365"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65"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65" s="505"/>
      <c r="AF365" s="187"/>
      <c r="AG365" s="200" t="str">
        <f>IF(COUNTA(SalCommune[[#This Row],[N°]:[heures annuelles
selon contrat(s)]])=0,"",REVEX!$E$9)</f>
        <v/>
      </c>
      <c r="AH365" s="73" t="str">
        <f>IF(SalCommune[[#This Row],[Allocations fonctions]]="","",IF(ISNA(VLOOKUP(SalCommune[[#This Row],[Allocations fonctions]],DROPDOWN[Dropdown82],1,FALSE))=TRUE,"&lt;-- Veuillez choisir l'allocation parmis la liste déroulante.",""))</f>
        <v/>
      </c>
    </row>
    <row r="366" spans="1:34" x14ac:dyDescent="0.25">
      <c r="A366" s="73" t="str">
        <f>IF(SalCommune[[#This Row],[Statut]]="","",IF(ISNA(VLOOKUP(SalCommune[[#This Row],[Statut]],'Grille communale'!$B$3:$B$5,1,FALSE))=TRUE,"Veuillez choisir le statut parmis la liste déroulante",""))</f>
        <v/>
      </c>
      <c r="B366" s="8"/>
      <c r="C366" s="8"/>
      <c r="D366" s="8"/>
      <c r="E366" s="21"/>
      <c r="F366" s="8"/>
      <c r="G366" s="8"/>
      <c r="H366" s="9"/>
      <c r="I366" s="9"/>
      <c r="J366" s="9"/>
      <c r="K366" s="10"/>
      <c r="L366" s="10"/>
      <c r="M366" s="9"/>
      <c r="N366" s="9"/>
      <c r="O366" s="9"/>
      <c r="P366"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66" s="9"/>
      <c r="R366" s="9"/>
      <c r="S366" s="38"/>
      <c r="T366" s="38"/>
      <c r="U366" s="38"/>
      <c r="V366" s="38"/>
      <c r="W366" s="38"/>
      <c r="X366" s="67" t="str">
        <f>IF(COUNTA(SalCommune[[#This Row],[N°]:[heures annuelles
selon contrat(s)]])=0,"",SalCommune[[#This Row],[Brut]]+SalCommune[[#This Row],[Autres Primes]]+SalCommune[[#This Row],[Part patronale]]-ABS(SalCommune[[#This Row],[Remboursement Mutualité]])-ABS(SalCommune[[#This Row],[Remboursement
Autres]]))</f>
        <v/>
      </c>
      <c r="Y366" s="38"/>
      <c r="Z366"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66" s="8"/>
      <c r="AB366" s="64"/>
      <c r="AC366"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66"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66" s="505"/>
      <c r="AF366" s="187"/>
      <c r="AG366" s="200" t="str">
        <f>IF(COUNTA(SalCommune[[#This Row],[N°]:[heures annuelles
selon contrat(s)]])=0,"",REVEX!$E$9)</f>
        <v/>
      </c>
      <c r="AH366" s="73" t="str">
        <f>IF(SalCommune[[#This Row],[Allocations fonctions]]="","",IF(ISNA(VLOOKUP(SalCommune[[#This Row],[Allocations fonctions]],DROPDOWN[Dropdown82],1,FALSE))=TRUE,"&lt;-- Veuillez choisir l'allocation parmis la liste déroulante.",""))</f>
        <v/>
      </c>
    </row>
    <row r="367" spans="1:34" x14ac:dyDescent="0.25">
      <c r="A367" s="73" t="str">
        <f>IF(SalCommune[[#This Row],[Statut]]="","",IF(ISNA(VLOOKUP(SalCommune[[#This Row],[Statut]],'Grille communale'!$B$3:$B$5,1,FALSE))=TRUE,"Veuillez choisir le statut parmis la liste déroulante",""))</f>
        <v/>
      </c>
      <c r="B367" s="8"/>
      <c r="C367" s="8"/>
      <c r="D367" s="8"/>
      <c r="E367" s="21"/>
      <c r="F367" s="8"/>
      <c r="G367" s="8"/>
      <c r="H367" s="9"/>
      <c r="I367" s="9"/>
      <c r="J367" s="9"/>
      <c r="K367" s="10"/>
      <c r="L367" s="10"/>
      <c r="M367" s="9"/>
      <c r="N367" s="9"/>
      <c r="O367" s="9"/>
      <c r="P367"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67" s="9"/>
      <c r="R367" s="9"/>
      <c r="S367" s="38"/>
      <c r="T367" s="38"/>
      <c r="U367" s="38"/>
      <c r="V367" s="38"/>
      <c r="W367" s="38"/>
      <c r="X367" s="67" t="str">
        <f>IF(COUNTA(SalCommune[[#This Row],[N°]:[heures annuelles
selon contrat(s)]])=0,"",SalCommune[[#This Row],[Brut]]+SalCommune[[#This Row],[Autres Primes]]+SalCommune[[#This Row],[Part patronale]]-ABS(SalCommune[[#This Row],[Remboursement Mutualité]])-ABS(SalCommune[[#This Row],[Remboursement
Autres]]))</f>
        <v/>
      </c>
      <c r="Y367" s="38"/>
      <c r="Z367"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67" s="8"/>
      <c r="AB367" s="64"/>
      <c r="AC367"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67"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67" s="505"/>
      <c r="AF367" s="187"/>
      <c r="AG367" s="200" t="str">
        <f>IF(COUNTA(SalCommune[[#This Row],[N°]:[heures annuelles
selon contrat(s)]])=0,"",REVEX!$E$9)</f>
        <v/>
      </c>
      <c r="AH367" s="73" t="str">
        <f>IF(SalCommune[[#This Row],[Allocations fonctions]]="","",IF(ISNA(VLOOKUP(SalCommune[[#This Row],[Allocations fonctions]],DROPDOWN[Dropdown82],1,FALSE))=TRUE,"&lt;-- Veuillez choisir l'allocation parmis la liste déroulante.",""))</f>
        <v/>
      </c>
    </row>
    <row r="368" spans="1:34" x14ac:dyDescent="0.25">
      <c r="A368" s="73" t="str">
        <f>IF(SalCommune[[#This Row],[Statut]]="","",IF(ISNA(VLOOKUP(SalCommune[[#This Row],[Statut]],'Grille communale'!$B$3:$B$5,1,FALSE))=TRUE,"Veuillez choisir le statut parmis la liste déroulante",""))</f>
        <v/>
      </c>
      <c r="B368" s="8"/>
      <c r="C368" s="8"/>
      <c r="D368" s="8"/>
      <c r="E368" s="21"/>
      <c r="F368" s="8"/>
      <c r="G368" s="8"/>
      <c r="H368" s="9"/>
      <c r="I368" s="9"/>
      <c r="J368" s="9"/>
      <c r="K368" s="10"/>
      <c r="L368" s="10"/>
      <c r="M368" s="9"/>
      <c r="N368" s="9"/>
      <c r="O368" s="9"/>
      <c r="P368"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68" s="9"/>
      <c r="R368" s="9"/>
      <c r="S368" s="38"/>
      <c r="T368" s="38"/>
      <c r="U368" s="38"/>
      <c r="V368" s="38"/>
      <c r="W368" s="38"/>
      <c r="X368" s="67" t="str">
        <f>IF(COUNTA(SalCommune[[#This Row],[N°]:[heures annuelles
selon contrat(s)]])=0,"",SalCommune[[#This Row],[Brut]]+SalCommune[[#This Row],[Autres Primes]]+SalCommune[[#This Row],[Part patronale]]-ABS(SalCommune[[#This Row],[Remboursement Mutualité]])-ABS(SalCommune[[#This Row],[Remboursement
Autres]]))</f>
        <v/>
      </c>
      <c r="Y368" s="38"/>
      <c r="Z368"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68" s="8"/>
      <c r="AB368" s="64"/>
      <c r="AC368"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68"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68" s="505"/>
      <c r="AF368" s="187"/>
      <c r="AG368" s="200" t="str">
        <f>IF(COUNTA(SalCommune[[#This Row],[N°]:[heures annuelles
selon contrat(s)]])=0,"",REVEX!$E$9)</f>
        <v/>
      </c>
      <c r="AH368" s="73" t="str">
        <f>IF(SalCommune[[#This Row],[Allocations fonctions]]="","",IF(ISNA(VLOOKUP(SalCommune[[#This Row],[Allocations fonctions]],DROPDOWN[Dropdown82],1,FALSE))=TRUE,"&lt;-- Veuillez choisir l'allocation parmis la liste déroulante.",""))</f>
        <v/>
      </c>
    </row>
    <row r="369" spans="1:34" x14ac:dyDescent="0.25">
      <c r="A369" s="73" t="str">
        <f>IF(SalCommune[[#This Row],[Statut]]="","",IF(ISNA(VLOOKUP(SalCommune[[#This Row],[Statut]],'Grille communale'!$B$3:$B$5,1,FALSE))=TRUE,"Veuillez choisir le statut parmis la liste déroulante",""))</f>
        <v/>
      </c>
      <c r="B369" s="8"/>
      <c r="C369" s="8"/>
      <c r="D369" s="8"/>
      <c r="E369" s="21"/>
      <c r="F369" s="8"/>
      <c r="G369" s="8"/>
      <c r="H369" s="9"/>
      <c r="I369" s="9"/>
      <c r="J369" s="9"/>
      <c r="K369" s="10"/>
      <c r="L369" s="10"/>
      <c r="M369" s="9"/>
      <c r="N369" s="9"/>
      <c r="O369" s="9"/>
      <c r="P369"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69" s="9"/>
      <c r="R369" s="9"/>
      <c r="S369" s="38"/>
      <c r="T369" s="38"/>
      <c r="U369" s="38"/>
      <c r="V369" s="38"/>
      <c r="W369" s="38"/>
      <c r="X369" s="67" t="str">
        <f>IF(COUNTA(SalCommune[[#This Row],[N°]:[heures annuelles
selon contrat(s)]])=0,"",SalCommune[[#This Row],[Brut]]+SalCommune[[#This Row],[Autres Primes]]+SalCommune[[#This Row],[Part patronale]]-ABS(SalCommune[[#This Row],[Remboursement Mutualité]])-ABS(SalCommune[[#This Row],[Remboursement
Autres]]))</f>
        <v/>
      </c>
      <c r="Y369" s="38"/>
      <c r="Z369"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69" s="8"/>
      <c r="AB369" s="64"/>
      <c r="AC369"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69"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69" s="505"/>
      <c r="AF369" s="187"/>
      <c r="AG369" s="200" t="str">
        <f>IF(COUNTA(SalCommune[[#This Row],[N°]:[heures annuelles
selon contrat(s)]])=0,"",REVEX!$E$9)</f>
        <v/>
      </c>
      <c r="AH369" s="73" t="str">
        <f>IF(SalCommune[[#This Row],[Allocations fonctions]]="","",IF(ISNA(VLOOKUP(SalCommune[[#This Row],[Allocations fonctions]],DROPDOWN[Dropdown82],1,FALSE))=TRUE,"&lt;-- Veuillez choisir l'allocation parmis la liste déroulante.",""))</f>
        <v/>
      </c>
    </row>
    <row r="370" spans="1:34" x14ac:dyDescent="0.25">
      <c r="A370" s="73" t="str">
        <f>IF(SalCommune[[#This Row],[Statut]]="","",IF(ISNA(VLOOKUP(SalCommune[[#This Row],[Statut]],'Grille communale'!$B$3:$B$5,1,FALSE))=TRUE,"Veuillez choisir le statut parmis la liste déroulante",""))</f>
        <v/>
      </c>
      <c r="B370" s="8"/>
      <c r="C370" s="8"/>
      <c r="D370" s="8"/>
      <c r="E370" s="21"/>
      <c r="F370" s="8"/>
      <c r="G370" s="8"/>
      <c r="H370" s="9"/>
      <c r="I370" s="9"/>
      <c r="J370" s="9"/>
      <c r="K370" s="10"/>
      <c r="L370" s="10"/>
      <c r="M370" s="9"/>
      <c r="N370" s="9"/>
      <c r="O370" s="9"/>
      <c r="P370"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70" s="9"/>
      <c r="R370" s="9"/>
      <c r="S370" s="38"/>
      <c r="T370" s="38"/>
      <c r="U370" s="38"/>
      <c r="V370" s="38"/>
      <c r="W370" s="38"/>
      <c r="X370" s="67" t="str">
        <f>IF(COUNTA(SalCommune[[#This Row],[N°]:[heures annuelles
selon contrat(s)]])=0,"",SalCommune[[#This Row],[Brut]]+SalCommune[[#This Row],[Autres Primes]]+SalCommune[[#This Row],[Part patronale]]-ABS(SalCommune[[#This Row],[Remboursement Mutualité]])-ABS(SalCommune[[#This Row],[Remboursement
Autres]]))</f>
        <v/>
      </c>
      <c r="Y370" s="38"/>
      <c r="Z370"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70" s="8"/>
      <c r="AB370" s="64"/>
      <c r="AC370"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70"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70" s="505"/>
      <c r="AF370" s="187"/>
      <c r="AG370" s="200" t="str">
        <f>IF(COUNTA(SalCommune[[#This Row],[N°]:[heures annuelles
selon contrat(s)]])=0,"",REVEX!$E$9)</f>
        <v/>
      </c>
      <c r="AH370" s="73" t="str">
        <f>IF(SalCommune[[#This Row],[Allocations fonctions]]="","",IF(ISNA(VLOOKUP(SalCommune[[#This Row],[Allocations fonctions]],DROPDOWN[Dropdown82],1,FALSE))=TRUE,"&lt;-- Veuillez choisir l'allocation parmis la liste déroulante.",""))</f>
        <v/>
      </c>
    </row>
    <row r="371" spans="1:34" x14ac:dyDescent="0.25">
      <c r="A371" s="73" t="str">
        <f>IF(SalCommune[[#This Row],[Statut]]="","",IF(ISNA(VLOOKUP(SalCommune[[#This Row],[Statut]],'Grille communale'!$B$3:$B$5,1,FALSE))=TRUE,"Veuillez choisir le statut parmis la liste déroulante",""))</f>
        <v/>
      </c>
      <c r="B371" s="8"/>
      <c r="C371" s="8"/>
      <c r="D371" s="8"/>
      <c r="E371" s="21"/>
      <c r="F371" s="8"/>
      <c r="G371" s="8"/>
      <c r="H371" s="9"/>
      <c r="I371" s="9"/>
      <c r="J371" s="9"/>
      <c r="K371" s="10"/>
      <c r="L371" s="10"/>
      <c r="M371" s="9"/>
      <c r="N371" s="9"/>
      <c r="O371" s="9"/>
      <c r="P371"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71" s="9"/>
      <c r="R371" s="9"/>
      <c r="S371" s="38"/>
      <c r="T371" s="38"/>
      <c r="U371" s="38"/>
      <c r="V371" s="38"/>
      <c r="W371" s="38"/>
      <c r="X371" s="67" t="str">
        <f>IF(COUNTA(SalCommune[[#This Row],[N°]:[heures annuelles
selon contrat(s)]])=0,"",SalCommune[[#This Row],[Brut]]+SalCommune[[#This Row],[Autres Primes]]+SalCommune[[#This Row],[Part patronale]]-ABS(SalCommune[[#This Row],[Remboursement Mutualité]])-ABS(SalCommune[[#This Row],[Remboursement
Autres]]))</f>
        <v/>
      </c>
      <c r="Y371" s="38"/>
      <c r="Z371"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71" s="8"/>
      <c r="AB371" s="64"/>
      <c r="AC371"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71"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71" s="505"/>
      <c r="AF371" s="187"/>
      <c r="AG371" s="200" t="str">
        <f>IF(COUNTA(SalCommune[[#This Row],[N°]:[heures annuelles
selon contrat(s)]])=0,"",REVEX!$E$9)</f>
        <v/>
      </c>
      <c r="AH371" s="73" t="str">
        <f>IF(SalCommune[[#This Row],[Allocations fonctions]]="","",IF(ISNA(VLOOKUP(SalCommune[[#This Row],[Allocations fonctions]],DROPDOWN[Dropdown82],1,FALSE))=TRUE,"&lt;-- Veuillez choisir l'allocation parmis la liste déroulante.",""))</f>
        <v/>
      </c>
    </row>
    <row r="372" spans="1:34" x14ac:dyDescent="0.25">
      <c r="A372" s="73" t="str">
        <f>IF(SalCommune[[#This Row],[Statut]]="","",IF(ISNA(VLOOKUP(SalCommune[[#This Row],[Statut]],'Grille communale'!$B$3:$B$5,1,FALSE))=TRUE,"Veuillez choisir le statut parmis la liste déroulante",""))</f>
        <v/>
      </c>
      <c r="B372" s="8"/>
      <c r="C372" s="8"/>
      <c r="D372" s="8"/>
      <c r="E372" s="21"/>
      <c r="F372" s="8"/>
      <c r="G372" s="8"/>
      <c r="H372" s="9"/>
      <c r="I372" s="9"/>
      <c r="J372" s="9"/>
      <c r="K372" s="10"/>
      <c r="L372" s="10"/>
      <c r="M372" s="9"/>
      <c r="N372" s="9"/>
      <c r="O372" s="9"/>
      <c r="P372"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72" s="9"/>
      <c r="R372" s="9"/>
      <c r="S372" s="38"/>
      <c r="T372" s="38"/>
      <c r="U372" s="38"/>
      <c r="V372" s="38"/>
      <c r="W372" s="38"/>
      <c r="X372" s="67" t="str">
        <f>IF(COUNTA(SalCommune[[#This Row],[N°]:[heures annuelles
selon contrat(s)]])=0,"",SalCommune[[#This Row],[Brut]]+SalCommune[[#This Row],[Autres Primes]]+SalCommune[[#This Row],[Part patronale]]-ABS(SalCommune[[#This Row],[Remboursement Mutualité]])-ABS(SalCommune[[#This Row],[Remboursement
Autres]]))</f>
        <v/>
      </c>
      <c r="Y372" s="38"/>
      <c r="Z372"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72" s="8"/>
      <c r="AB372" s="64"/>
      <c r="AC372"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72"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72" s="505"/>
      <c r="AF372" s="187"/>
      <c r="AG372" s="200" t="str">
        <f>IF(COUNTA(SalCommune[[#This Row],[N°]:[heures annuelles
selon contrat(s)]])=0,"",REVEX!$E$9)</f>
        <v/>
      </c>
      <c r="AH372" s="73" t="str">
        <f>IF(SalCommune[[#This Row],[Allocations fonctions]]="","",IF(ISNA(VLOOKUP(SalCommune[[#This Row],[Allocations fonctions]],DROPDOWN[Dropdown82],1,FALSE))=TRUE,"&lt;-- Veuillez choisir l'allocation parmis la liste déroulante.",""))</f>
        <v/>
      </c>
    </row>
    <row r="373" spans="1:34" x14ac:dyDescent="0.25">
      <c r="A373" s="73" t="str">
        <f>IF(SalCommune[[#This Row],[Statut]]="","",IF(ISNA(VLOOKUP(SalCommune[[#This Row],[Statut]],'Grille communale'!$B$3:$B$5,1,FALSE))=TRUE,"Veuillez choisir le statut parmis la liste déroulante",""))</f>
        <v/>
      </c>
      <c r="B373" s="8"/>
      <c r="C373" s="8"/>
      <c r="D373" s="8"/>
      <c r="E373" s="21"/>
      <c r="F373" s="8"/>
      <c r="G373" s="8"/>
      <c r="H373" s="9"/>
      <c r="I373" s="9"/>
      <c r="J373" s="9"/>
      <c r="K373" s="10"/>
      <c r="L373" s="10"/>
      <c r="M373" s="9"/>
      <c r="N373" s="9"/>
      <c r="O373" s="9"/>
      <c r="P373"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73" s="9"/>
      <c r="R373" s="9"/>
      <c r="S373" s="38"/>
      <c r="T373" s="38"/>
      <c r="U373" s="38"/>
      <c r="V373" s="38"/>
      <c r="W373" s="38"/>
      <c r="X373" s="67" t="str">
        <f>IF(COUNTA(SalCommune[[#This Row],[N°]:[heures annuelles
selon contrat(s)]])=0,"",SalCommune[[#This Row],[Brut]]+SalCommune[[#This Row],[Autres Primes]]+SalCommune[[#This Row],[Part patronale]]-ABS(SalCommune[[#This Row],[Remboursement Mutualité]])-ABS(SalCommune[[#This Row],[Remboursement
Autres]]))</f>
        <v/>
      </c>
      <c r="Y373" s="38"/>
      <c r="Z373"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73" s="8"/>
      <c r="AB373" s="64"/>
      <c r="AC373"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73"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73" s="505"/>
      <c r="AF373" s="187"/>
      <c r="AG373" s="200" t="str">
        <f>IF(COUNTA(SalCommune[[#This Row],[N°]:[heures annuelles
selon contrat(s)]])=0,"",REVEX!$E$9)</f>
        <v/>
      </c>
      <c r="AH373" s="73" t="str">
        <f>IF(SalCommune[[#This Row],[Allocations fonctions]]="","",IF(ISNA(VLOOKUP(SalCommune[[#This Row],[Allocations fonctions]],DROPDOWN[Dropdown82],1,FALSE))=TRUE,"&lt;-- Veuillez choisir l'allocation parmis la liste déroulante.",""))</f>
        <v/>
      </c>
    </row>
    <row r="374" spans="1:34" x14ac:dyDescent="0.25">
      <c r="A374" s="73" t="str">
        <f>IF(SalCommune[[#This Row],[Statut]]="","",IF(ISNA(VLOOKUP(SalCommune[[#This Row],[Statut]],'Grille communale'!$B$3:$B$5,1,FALSE))=TRUE,"Veuillez choisir le statut parmis la liste déroulante",""))</f>
        <v/>
      </c>
      <c r="B374" s="8"/>
      <c r="C374" s="8"/>
      <c r="D374" s="8"/>
      <c r="E374" s="21"/>
      <c r="F374" s="8"/>
      <c r="G374" s="8"/>
      <c r="H374" s="9"/>
      <c r="I374" s="9"/>
      <c r="J374" s="9"/>
      <c r="K374" s="10"/>
      <c r="L374" s="10"/>
      <c r="M374" s="9"/>
      <c r="N374" s="9"/>
      <c r="O374" s="9"/>
      <c r="P374"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74" s="9"/>
      <c r="R374" s="9"/>
      <c r="S374" s="38"/>
      <c r="T374" s="38"/>
      <c r="U374" s="38"/>
      <c r="V374" s="38"/>
      <c r="W374" s="38"/>
      <c r="X374" s="67" t="str">
        <f>IF(COUNTA(SalCommune[[#This Row],[N°]:[heures annuelles
selon contrat(s)]])=0,"",SalCommune[[#This Row],[Brut]]+SalCommune[[#This Row],[Autres Primes]]+SalCommune[[#This Row],[Part patronale]]-ABS(SalCommune[[#This Row],[Remboursement Mutualité]])-ABS(SalCommune[[#This Row],[Remboursement
Autres]]))</f>
        <v/>
      </c>
      <c r="Y374" s="38"/>
      <c r="Z374"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74" s="8"/>
      <c r="AB374" s="64"/>
      <c r="AC374"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74"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74" s="505"/>
      <c r="AF374" s="187"/>
      <c r="AG374" s="200" t="str">
        <f>IF(COUNTA(SalCommune[[#This Row],[N°]:[heures annuelles
selon contrat(s)]])=0,"",REVEX!$E$9)</f>
        <v/>
      </c>
      <c r="AH374" s="73" t="str">
        <f>IF(SalCommune[[#This Row],[Allocations fonctions]]="","",IF(ISNA(VLOOKUP(SalCommune[[#This Row],[Allocations fonctions]],DROPDOWN[Dropdown82],1,FALSE))=TRUE,"&lt;-- Veuillez choisir l'allocation parmis la liste déroulante.",""))</f>
        <v/>
      </c>
    </row>
    <row r="375" spans="1:34" x14ac:dyDescent="0.25">
      <c r="A375" s="73" t="str">
        <f>IF(SalCommune[[#This Row],[Statut]]="","",IF(ISNA(VLOOKUP(SalCommune[[#This Row],[Statut]],'Grille communale'!$B$3:$B$5,1,FALSE))=TRUE,"Veuillez choisir le statut parmis la liste déroulante",""))</f>
        <v/>
      </c>
      <c r="B375" s="8"/>
      <c r="C375" s="8"/>
      <c r="D375" s="8"/>
      <c r="E375" s="21"/>
      <c r="F375" s="8"/>
      <c r="G375" s="8"/>
      <c r="H375" s="9"/>
      <c r="I375" s="9"/>
      <c r="J375" s="9"/>
      <c r="K375" s="10"/>
      <c r="L375" s="10"/>
      <c r="M375" s="9"/>
      <c r="N375" s="9"/>
      <c r="O375" s="9"/>
      <c r="P375"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75" s="9"/>
      <c r="R375" s="9"/>
      <c r="S375" s="38"/>
      <c r="T375" s="38"/>
      <c r="U375" s="38"/>
      <c r="V375" s="38"/>
      <c r="W375" s="38"/>
      <c r="X375" s="67" t="str">
        <f>IF(COUNTA(SalCommune[[#This Row],[N°]:[heures annuelles
selon contrat(s)]])=0,"",SalCommune[[#This Row],[Brut]]+SalCommune[[#This Row],[Autres Primes]]+SalCommune[[#This Row],[Part patronale]]-ABS(SalCommune[[#This Row],[Remboursement Mutualité]])-ABS(SalCommune[[#This Row],[Remboursement
Autres]]))</f>
        <v/>
      </c>
      <c r="Y375" s="38"/>
      <c r="Z375"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75" s="8"/>
      <c r="AB375" s="64"/>
      <c r="AC375"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75"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75" s="505"/>
      <c r="AF375" s="187"/>
      <c r="AG375" s="200" t="str">
        <f>IF(COUNTA(SalCommune[[#This Row],[N°]:[heures annuelles
selon contrat(s)]])=0,"",REVEX!$E$9)</f>
        <v/>
      </c>
      <c r="AH375" s="73" t="str">
        <f>IF(SalCommune[[#This Row],[Allocations fonctions]]="","",IF(ISNA(VLOOKUP(SalCommune[[#This Row],[Allocations fonctions]],DROPDOWN[Dropdown82],1,FALSE))=TRUE,"&lt;-- Veuillez choisir l'allocation parmis la liste déroulante.",""))</f>
        <v/>
      </c>
    </row>
    <row r="376" spans="1:34" x14ac:dyDescent="0.25">
      <c r="A376" s="73" t="str">
        <f>IF(SalCommune[[#This Row],[Statut]]="","",IF(ISNA(VLOOKUP(SalCommune[[#This Row],[Statut]],'Grille communale'!$B$3:$B$5,1,FALSE))=TRUE,"Veuillez choisir le statut parmis la liste déroulante",""))</f>
        <v/>
      </c>
      <c r="B376" s="8"/>
      <c r="C376" s="8"/>
      <c r="D376" s="8"/>
      <c r="E376" s="21"/>
      <c r="F376" s="8"/>
      <c r="G376" s="8"/>
      <c r="H376" s="9"/>
      <c r="I376" s="9"/>
      <c r="J376" s="9"/>
      <c r="K376" s="10"/>
      <c r="L376" s="10"/>
      <c r="M376" s="9"/>
      <c r="N376" s="9"/>
      <c r="O376" s="9"/>
      <c r="P376"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76" s="9"/>
      <c r="R376" s="9"/>
      <c r="S376" s="38"/>
      <c r="T376" s="38"/>
      <c r="U376" s="38"/>
      <c r="V376" s="38"/>
      <c r="W376" s="38"/>
      <c r="X376" s="67" t="str">
        <f>IF(COUNTA(SalCommune[[#This Row],[N°]:[heures annuelles
selon contrat(s)]])=0,"",SalCommune[[#This Row],[Brut]]+SalCommune[[#This Row],[Autres Primes]]+SalCommune[[#This Row],[Part patronale]]-ABS(SalCommune[[#This Row],[Remboursement Mutualité]])-ABS(SalCommune[[#This Row],[Remboursement
Autres]]))</f>
        <v/>
      </c>
      <c r="Y376" s="38"/>
      <c r="Z376"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76" s="8"/>
      <c r="AB376" s="64"/>
      <c r="AC376"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76"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76" s="505"/>
      <c r="AF376" s="187"/>
      <c r="AG376" s="200" t="str">
        <f>IF(COUNTA(SalCommune[[#This Row],[N°]:[heures annuelles
selon contrat(s)]])=0,"",REVEX!$E$9)</f>
        <v/>
      </c>
      <c r="AH376" s="73" t="str">
        <f>IF(SalCommune[[#This Row],[Allocations fonctions]]="","",IF(ISNA(VLOOKUP(SalCommune[[#This Row],[Allocations fonctions]],DROPDOWN[Dropdown82],1,FALSE))=TRUE,"&lt;-- Veuillez choisir l'allocation parmis la liste déroulante.",""))</f>
        <v/>
      </c>
    </row>
    <row r="377" spans="1:34" x14ac:dyDescent="0.25">
      <c r="A377" s="73" t="str">
        <f>IF(SalCommune[[#This Row],[Statut]]="","",IF(ISNA(VLOOKUP(SalCommune[[#This Row],[Statut]],'Grille communale'!$B$3:$B$5,1,FALSE))=TRUE,"Veuillez choisir le statut parmis la liste déroulante",""))</f>
        <v/>
      </c>
      <c r="B377" s="8"/>
      <c r="C377" s="8"/>
      <c r="D377" s="8"/>
      <c r="E377" s="21"/>
      <c r="F377" s="8"/>
      <c r="G377" s="8"/>
      <c r="H377" s="9"/>
      <c r="I377" s="9"/>
      <c r="J377" s="9"/>
      <c r="K377" s="10"/>
      <c r="L377" s="10"/>
      <c r="M377" s="9"/>
      <c r="N377" s="9"/>
      <c r="O377" s="9"/>
      <c r="P377"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77" s="9"/>
      <c r="R377" s="9"/>
      <c r="S377" s="38"/>
      <c r="T377" s="38"/>
      <c r="U377" s="38"/>
      <c r="V377" s="38"/>
      <c r="W377" s="38"/>
      <c r="X377" s="67" t="str">
        <f>IF(COUNTA(SalCommune[[#This Row],[N°]:[heures annuelles
selon contrat(s)]])=0,"",SalCommune[[#This Row],[Brut]]+SalCommune[[#This Row],[Autres Primes]]+SalCommune[[#This Row],[Part patronale]]-ABS(SalCommune[[#This Row],[Remboursement Mutualité]])-ABS(SalCommune[[#This Row],[Remboursement
Autres]]))</f>
        <v/>
      </c>
      <c r="Y377" s="38"/>
      <c r="Z377"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77" s="8"/>
      <c r="AB377" s="64"/>
      <c r="AC377"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77"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77" s="505"/>
      <c r="AF377" s="187"/>
      <c r="AG377" s="200" t="str">
        <f>IF(COUNTA(SalCommune[[#This Row],[N°]:[heures annuelles
selon contrat(s)]])=0,"",REVEX!$E$9)</f>
        <v/>
      </c>
      <c r="AH377" s="73" t="str">
        <f>IF(SalCommune[[#This Row],[Allocations fonctions]]="","",IF(ISNA(VLOOKUP(SalCommune[[#This Row],[Allocations fonctions]],DROPDOWN[Dropdown82],1,FALSE))=TRUE,"&lt;-- Veuillez choisir l'allocation parmis la liste déroulante.",""))</f>
        <v/>
      </c>
    </row>
    <row r="378" spans="1:34" x14ac:dyDescent="0.25">
      <c r="A378" s="73" t="str">
        <f>IF(SalCommune[[#This Row],[Statut]]="","",IF(ISNA(VLOOKUP(SalCommune[[#This Row],[Statut]],'Grille communale'!$B$3:$B$5,1,FALSE))=TRUE,"Veuillez choisir le statut parmis la liste déroulante",""))</f>
        <v/>
      </c>
      <c r="B378" s="8"/>
      <c r="C378" s="8"/>
      <c r="D378" s="8"/>
      <c r="E378" s="21"/>
      <c r="F378" s="8"/>
      <c r="G378" s="8"/>
      <c r="H378" s="9"/>
      <c r="I378" s="9"/>
      <c r="J378" s="9"/>
      <c r="K378" s="10"/>
      <c r="L378" s="10"/>
      <c r="M378" s="9"/>
      <c r="N378" s="9"/>
      <c r="O378" s="9"/>
      <c r="P378"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78" s="9"/>
      <c r="R378" s="9"/>
      <c r="S378" s="38"/>
      <c r="T378" s="38"/>
      <c r="U378" s="38"/>
      <c r="V378" s="38"/>
      <c r="W378" s="38"/>
      <c r="X378" s="67" t="str">
        <f>IF(COUNTA(SalCommune[[#This Row],[N°]:[heures annuelles
selon contrat(s)]])=0,"",SalCommune[[#This Row],[Brut]]+SalCommune[[#This Row],[Autres Primes]]+SalCommune[[#This Row],[Part patronale]]-ABS(SalCommune[[#This Row],[Remboursement Mutualité]])-ABS(SalCommune[[#This Row],[Remboursement
Autres]]))</f>
        <v/>
      </c>
      <c r="Y378" s="38"/>
      <c r="Z378"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78" s="8"/>
      <c r="AB378" s="64"/>
      <c r="AC378"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78"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78" s="505"/>
      <c r="AF378" s="187"/>
      <c r="AG378" s="200" t="str">
        <f>IF(COUNTA(SalCommune[[#This Row],[N°]:[heures annuelles
selon contrat(s)]])=0,"",REVEX!$E$9)</f>
        <v/>
      </c>
      <c r="AH378" s="73" t="str">
        <f>IF(SalCommune[[#This Row],[Allocations fonctions]]="","",IF(ISNA(VLOOKUP(SalCommune[[#This Row],[Allocations fonctions]],DROPDOWN[Dropdown82],1,FALSE))=TRUE,"&lt;-- Veuillez choisir l'allocation parmis la liste déroulante.",""))</f>
        <v/>
      </c>
    </row>
    <row r="379" spans="1:34" x14ac:dyDescent="0.25">
      <c r="A379" s="73" t="str">
        <f>IF(SalCommune[[#This Row],[Statut]]="","",IF(ISNA(VLOOKUP(SalCommune[[#This Row],[Statut]],'Grille communale'!$B$3:$B$5,1,FALSE))=TRUE,"Veuillez choisir le statut parmis la liste déroulante",""))</f>
        <v/>
      </c>
      <c r="B379" s="8"/>
      <c r="C379" s="8"/>
      <c r="D379" s="8"/>
      <c r="E379" s="21"/>
      <c r="F379" s="8"/>
      <c r="G379" s="8"/>
      <c r="H379" s="9"/>
      <c r="I379" s="9"/>
      <c r="J379" s="9"/>
      <c r="K379" s="10"/>
      <c r="L379" s="10"/>
      <c r="M379" s="9"/>
      <c r="N379" s="9"/>
      <c r="O379" s="9"/>
      <c r="P379"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79" s="9"/>
      <c r="R379" s="9"/>
      <c r="S379" s="38"/>
      <c r="T379" s="38"/>
      <c r="U379" s="38"/>
      <c r="V379" s="38"/>
      <c r="W379" s="38"/>
      <c r="X379" s="67" t="str">
        <f>IF(COUNTA(SalCommune[[#This Row],[N°]:[heures annuelles
selon contrat(s)]])=0,"",SalCommune[[#This Row],[Brut]]+SalCommune[[#This Row],[Autres Primes]]+SalCommune[[#This Row],[Part patronale]]-ABS(SalCommune[[#This Row],[Remboursement Mutualité]])-ABS(SalCommune[[#This Row],[Remboursement
Autres]]))</f>
        <v/>
      </c>
      <c r="Y379" s="38"/>
      <c r="Z379"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79" s="8"/>
      <c r="AB379" s="64"/>
      <c r="AC379"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79"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79" s="505"/>
      <c r="AF379" s="187"/>
      <c r="AG379" s="200" t="str">
        <f>IF(COUNTA(SalCommune[[#This Row],[N°]:[heures annuelles
selon contrat(s)]])=0,"",REVEX!$E$9)</f>
        <v/>
      </c>
      <c r="AH379" s="73" t="str">
        <f>IF(SalCommune[[#This Row],[Allocations fonctions]]="","",IF(ISNA(VLOOKUP(SalCommune[[#This Row],[Allocations fonctions]],DROPDOWN[Dropdown82],1,FALSE))=TRUE,"&lt;-- Veuillez choisir l'allocation parmis la liste déroulante.",""))</f>
        <v/>
      </c>
    </row>
    <row r="380" spans="1:34" x14ac:dyDescent="0.25">
      <c r="A380" s="73" t="str">
        <f>IF(SalCommune[[#This Row],[Statut]]="","",IF(ISNA(VLOOKUP(SalCommune[[#This Row],[Statut]],'Grille communale'!$B$3:$B$5,1,FALSE))=TRUE,"Veuillez choisir le statut parmis la liste déroulante",""))</f>
        <v/>
      </c>
      <c r="B380" s="8"/>
      <c r="C380" s="8"/>
      <c r="D380" s="8"/>
      <c r="E380" s="21"/>
      <c r="F380" s="8"/>
      <c r="G380" s="8"/>
      <c r="H380" s="9"/>
      <c r="I380" s="9"/>
      <c r="J380" s="9"/>
      <c r="K380" s="10"/>
      <c r="L380" s="10"/>
      <c r="M380" s="9"/>
      <c r="N380" s="9"/>
      <c r="O380" s="9"/>
      <c r="P380"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80" s="9"/>
      <c r="R380" s="9"/>
      <c r="S380" s="38"/>
      <c r="T380" s="38"/>
      <c r="U380" s="38"/>
      <c r="V380" s="38"/>
      <c r="W380" s="38"/>
      <c r="X380" s="67" t="str">
        <f>IF(COUNTA(SalCommune[[#This Row],[N°]:[heures annuelles
selon contrat(s)]])=0,"",SalCommune[[#This Row],[Brut]]+SalCommune[[#This Row],[Autres Primes]]+SalCommune[[#This Row],[Part patronale]]-ABS(SalCommune[[#This Row],[Remboursement Mutualité]])-ABS(SalCommune[[#This Row],[Remboursement
Autres]]))</f>
        <v/>
      </c>
      <c r="Y380" s="38"/>
      <c r="Z380"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80" s="8"/>
      <c r="AB380" s="64"/>
      <c r="AC380"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80"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80" s="505"/>
      <c r="AF380" s="187"/>
      <c r="AG380" s="200" t="str">
        <f>IF(COUNTA(SalCommune[[#This Row],[N°]:[heures annuelles
selon contrat(s)]])=0,"",REVEX!$E$9)</f>
        <v/>
      </c>
      <c r="AH380" s="73" t="str">
        <f>IF(SalCommune[[#This Row],[Allocations fonctions]]="","",IF(ISNA(VLOOKUP(SalCommune[[#This Row],[Allocations fonctions]],DROPDOWN[Dropdown82],1,FALSE))=TRUE,"&lt;-- Veuillez choisir l'allocation parmis la liste déroulante.",""))</f>
        <v/>
      </c>
    </row>
    <row r="381" spans="1:34" x14ac:dyDescent="0.25">
      <c r="A381" s="73" t="str">
        <f>IF(SalCommune[[#This Row],[Statut]]="","",IF(ISNA(VLOOKUP(SalCommune[[#This Row],[Statut]],'Grille communale'!$B$3:$B$5,1,FALSE))=TRUE,"Veuillez choisir le statut parmis la liste déroulante",""))</f>
        <v/>
      </c>
      <c r="B381" s="8"/>
      <c r="C381" s="8"/>
      <c r="D381" s="8"/>
      <c r="E381" s="21"/>
      <c r="F381" s="8"/>
      <c r="G381" s="8"/>
      <c r="H381" s="9"/>
      <c r="I381" s="9"/>
      <c r="J381" s="9"/>
      <c r="K381" s="10"/>
      <c r="L381" s="10"/>
      <c r="M381" s="9"/>
      <c r="N381" s="9"/>
      <c r="O381" s="9"/>
      <c r="P381"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81" s="9"/>
      <c r="R381" s="9"/>
      <c r="S381" s="38"/>
      <c r="T381" s="38"/>
      <c r="U381" s="38"/>
      <c r="V381" s="38"/>
      <c r="W381" s="38"/>
      <c r="X381" s="67" t="str">
        <f>IF(COUNTA(SalCommune[[#This Row],[N°]:[heures annuelles
selon contrat(s)]])=0,"",SalCommune[[#This Row],[Brut]]+SalCommune[[#This Row],[Autres Primes]]+SalCommune[[#This Row],[Part patronale]]-ABS(SalCommune[[#This Row],[Remboursement Mutualité]])-ABS(SalCommune[[#This Row],[Remboursement
Autres]]))</f>
        <v/>
      </c>
      <c r="Y381" s="38"/>
      <c r="Z381"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81" s="8"/>
      <c r="AB381" s="64"/>
      <c r="AC381"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81"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81" s="505"/>
      <c r="AF381" s="187"/>
      <c r="AG381" s="200" t="str">
        <f>IF(COUNTA(SalCommune[[#This Row],[N°]:[heures annuelles
selon contrat(s)]])=0,"",REVEX!$E$9)</f>
        <v/>
      </c>
      <c r="AH381" s="73" t="str">
        <f>IF(SalCommune[[#This Row],[Allocations fonctions]]="","",IF(ISNA(VLOOKUP(SalCommune[[#This Row],[Allocations fonctions]],DROPDOWN[Dropdown82],1,FALSE))=TRUE,"&lt;-- Veuillez choisir l'allocation parmis la liste déroulante.",""))</f>
        <v/>
      </c>
    </row>
    <row r="382" spans="1:34" x14ac:dyDescent="0.25">
      <c r="A382" s="73" t="str">
        <f>IF(SalCommune[[#This Row],[Statut]]="","",IF(ISNA(VLOOKUP(SalCommune[[#This Row],[Statut]],'Grille communale'!$B$3:$B$5,1,FALSE))=TRUE,"Veuillez choisir le statut parmis la liste déroulante",""))</f>
        <v/>
      </c>
      <c r="B382" s="8"/>
      <c r="C382" s="8"/>
      <c r="D382" s="8"/>
      <c r="E382" s="21"/>
      <c r="F382" s="8"/>
      <c r="G382" s="8"/>
      <c r="H382" s="9"/>
      <c r="I382" s="9"/>
      <c r="J382" s="9"/>
      <c r="K382" s="10"/>
      <c r="L382" s="10"/>
      <c r="M382" s="9"/>
      <c r="N382" s="9"/>
      <c r="O382" s="9"/>
      <c r="P382"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82" s="9"/>
      <c r="R382" s="9"/>
      <c r="S382" s="38"/>
      <c r="T382" s="38"/>
      <c r="U382" s="38"/>
      <c r="V382" s="38"/>
      <c r="W382" s="38"/>
      <c r="X382" s="67" t="str">
        <f>IF(COUNTA(SalCommune[[#This Row],[N°]:[heures annuelles
selon contrat(s)]])=0,"",SalCommune[[#This Row],[Brut]]+SalCommune[[#This Row],[Autres Primes]]+SalCommune[[#This Row],[Part patronale]]-ABS(SalCommune[[#This Row],[Remboursement Mutualité]])-ABS(SalCommune[[#This Row],[Remboursement
Autres]]))</f>
        <v/>
      </c>
      <c r="Y382" s="38"/>
      <c r="Z382"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82" s="8"/>
      <c r="AB382" s="64"/>
      <c r="AC382"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82"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82" s="505"/>
      <c r="AF382" s="187"/>
      <c r="AG382" s="200" t="str">
        <f>IF(COUNTA(SalCommune[[#This Row],[N°]:[heures annuelles
selon contrat(s)]])=0,"",REVEX!$E$9)</f>
        <v/>
      </c>
      <c r="AH382" s="73" t="str">
        <f>IF(SalCommune[[#This Row],[Allocations fonctions]]="","",IF(ISNA(VLOOKUP(SalCommune[[#This Row],[Allocations fonctions]],DROPDOWN[Dropdown82],1,FALSE))=TRUE,"&lt;-- Veuillez choisir l'allocation parmis la liste déroulante.",""))</f>
        <v/>
      </c>
    </row>
    <row r="383" spans="1:34" x14ac:dyDescent="0.25">
      <c r="A383" s="73" t="str">
        <f>IF(SalCommune[[#This Row],[Statut]]="","",IF(ISNA(VLOOKUP(SalCommune[[#This Row],[Statut]],'Grille communale'!$B$3:$B$5,1,FALSE))=TRUE,"Veuillez choisir le statut parmis la liste déroulante",""))</f>
        <v/>
      </c>
      <c r="B383" s="8"/>
      <c r="C383" s="8"/>
      <c r="D383" s="8"/>
      <c r="E383" s="21"/>
      <c r="F383" s="8"/>
      <c r="G383" s="8"/>
      <c r="H383" s="9"/>
      <c r="I383" s="9"/>
      <c r="J383" s="9"/>
      <c r="K383" s="10"/>
      <c r="L383" s="10"/>
      <c r="M383" s="9"/>
      <c r="N383" s="9"/>
      <c r="O383" s="9"/>
      <c r="P383"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83" s="9"/>
      <c r="R383" s="9"/>
      <c r="S383" s="38"/>
      <c r="T383" s="38"/>
      <c r="U383" s="38"/>
      <c r="V383" s="38"/>
      <c r="W383" s="38"/>
      <c r="X383" s="67" t="str">
        <f>IF(COUNTA(SalCommune[[#This Row],[N°]:[heures annuelles
selon contrat(s)]])=0,"",SalCommune[[#This Row],[Brut]]+SalCommune[[#This Row],[Autres Primes]]+SalCommune[[#This Row],[Part patronale]]-ABS(SalCommune[[#This Row],[Remboursement Mutualité]])-ABS(SalCommune[[#This Row],[Remboursement
Autres]]))</f>
        <v/>
      </c>
      <c r="Y383" s="38"/>
      <c r="Z383"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83" s="8"/>
      <c r="AB383" s="64"/>
      <c r="AC383"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83"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83" s="505"/>
      <c r="AF383" s="187"/>
      <c r="AG383" s="200" t="str">
        <f>IF(COUNTA(SalCommune[[#This Row],[N°]:[heures annuelles
selon contrat(s)]])=0,"",REVEX!$E$9)</f>
        <v/>
      </c>
      <c r="AH383" s="73" t="str">
        <f>IF(SalCommune[[#This Row],[Allocations fonctions]]="","",IF(ISNA(VLOOKUP(SalCommune[[#This Row],[Allocations fonctions]],DROPDOWN[Dropdown82],1,FALSE))=TRUE,"&lt;-- Veuillez choisir l'allocation parmis la liste déroulante.",""))</f>
        <v/>
      </c>
    </row>
    <row r="384" spans="1:34" x14ac:dyDescent="0.25">
      <c r="A384" s="73" t="str">
        <f>IF(SalCommune[[#This Row],[Statut]]="","",IF(ISNA(VLOOKUP(SalCommune[[#This Row],[Statut]],'Grille communale'!$B$3:$B$5,1,FALSE))=TRUE,"Veuillez choisir le statut parmis la liste déroulante",""))</f>
        <v/>
      </c>
      <c r="B384" s="8"/>
      <c r="C384" s="8"/>
      <c r="D384" s="8"/>
      <c r="E384" s="21"/>
      <c r="F384" s="8"/>
      <c r="G384" s="8"/>
      <c r="H384" s="9"/>
      <c r="I384" s="9"/>
      <c r="J384" s="9"/>
      <c r="K384" s="10"/>
      <c r="L384" s="10"/>
      <c r="M384" s="9"/>
      <c r="N384" s="9"/>
      <c r="O384" s="9"/>
      <c r="P384"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84" s="9"/>
      <c r="R384" s="9"/>
      <c r="S384" s="38"/>
      <c r="T384" s="38"/>
      <c r="U384" s="38"/>
      <c r="V384" s="38"/>
      <c r="W384" s="38"/>
      <c r="X384" s="67" t="str">
        <f>IF(COUNTA(SalCommune[[#This Row],[N°]:[heures annuelles
selon contrat(s)]])=0,"",SalCommune[[#This Row],[Brut]]+SalCommune[[#This Row],[Autres Primes]]+SalCommune[[#This Row],[Part patronale]]-ABS(SalCommune[[#This Row],[Remboursement Mutualité]])-ABS(SalCommune[[#This Row],[Remboursement
Autres]]))</f>
        <v/>
      </c>
      <c r="Y384" s="38"/>
      <c r="Z384"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84" s="8"/>
      <c r="AB384" s="64"/>
      <c r="AC384"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84"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84" s="505"/>
      <c r="AF384" s="187"/>
      <c r="AG384" s="200" t="str">
        <f>IF(COUNTA(SalCommune[[#This Row],[N°]:[heures annuelles
selon contrat(s)]])=0,"",REVEX!$E$9)</f>
        <v/>
      </c>
      <c r="AH384" s="73" t="str">
        <f>IF(SalCommune[[#This Row],[Allocations fonctions]]="","",IF(ISNA(VLOOKUP(SalCommune[[#This Row],[Allocations fonctions]],DROPDOWN[Dropdown82],1,FALSE))=TRUE,"&lt;-- Veuillez choisir l'allocation parmis la liste déroulante.",""))</f>
        <v/>
      </c>
    </row>
    <row r="385" spans="1:34" x14ac:dyDescent="0.25">
      <c r="A385" s="73" t="str">
        <f>IF(SalCommune[[#This Row],[Statut]]="","",IF(ISNA(VLOOKUP(SalCommune[[#This Row],[Statut]],'Grille communale'!$B$3:$B$5,1,FALSE))=TRUE,"Veuillez choisir le statut parmis la liste déroulante",""))</f>
        <v/>
      </c>
      <c r="B385" s="8"/>
      <c r="C385" s="8"/>
      <c r="D385" s="8"/>
      <c r="E385" s="21"/>
      <c r="F385" s="8"/>
      <c r="G385" s="8"/>
      <c r="H385" s="9"/>
      <c r="I385" s="9"/>
      <c r="J385" s="9"/>
      <c r="K385" s="10"/>
      <c r="L385" s="10"/>
      <c r="M385" s="9"/>
      <c r="N385" s="9"/>
      <c r="O385" s="9"/>
      <c r="P385"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85" s="9"/>
      <c r="R385" s="9"/>
      <c r="S385" s="38"/>
      <c r="T385" s="38"/>
      <c r="U385" s="38"/>
      <c r="V385" s="38"/>
      <c r="W385" s="38"/>
      <c r="X385" s="67" t="str">
        <f>IF(COUNTA(SalCommune[[#This Row],[N°]:[heures annuelles
selon contrat(s)]])=0,"",SalCommune[[#This Row],[Brut]]+SalCommune[[#This Row],[Autres Primes]]+SalCommune[[#This Row],[Part patronale]]-ABS(SalCommune[[#This Row],[Remboursement Mutualité]])-ABS(SalCommune[[#This Row],[Remboursement
Autres]]))</f>
        <v/>
      </c>
      <c r="Y385" s="38"/>
      <c r="Z385"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85" s="8"/>
      <c r="AB385" s="64"/>
      <c r="AC385"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85"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85" s="505"/>
      <c r="AF385" s="187"/>
      <c r="AG385" s="200" t="str">
        <f>IF(COUNTA(SalCommune[[#This Row],[N°]:[heures annuelles
selon contrat(s)]])=0,"",REVEX!$E$9)</f>
        <v/>
      </c>
      <c r="AH385" s="73" t="str">
        <f>IF(SalCommune[[#This Row],[Allocations fonctions]]="","",IF(ISNA(VLOOKUP(SalCommune[[#This Row],[Allocations fonctions]],DROPDOWN[Dropdown82],1,FALSE))=TRUE,"&lt;-- Veuillez choisir l'allocation parmis la liste déroulante.",""))</f>
        <v/>
      </c>
    </row>
    <row r="386" spans="1:34" x14ac:dyDescent="0.25">
      <c r="A386" s="73" t="str">
        <f>IF(SalCommune[[#This Row],[Statut]]="","",IF(ISNA(VLOOKUP(SalCommune[[#This Row],[Statut]],'Grille communale'!$B$3:$B$5,1,FALSE))=TRUE,"Veuillez choisir le statut parmis la liste déroulante",""))</f>
        <v/>
      </c>
      <c r="B386" s="8"/>
      <c r="C386" s="8"/>
      <c r="D386" s="8"/>
      <c r="E386" s="21"/>
      <c r="F386" s="8"/>
      <c r="G386" s="8"/>
      <c r="H386" s="9"/>
      <c r="I386" s="9"/>
      <c r="J386" s="9"/>
      <c r="K386" s="10"/>
      <c r="L386" s="10"/>
      <c r="M386" s="9"/>
      <c r="N386" s="9"/>
      <c r="O386" s="9"/>
      <c r="P386"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86" s="9"/>
      <c r="R386" s="9"/>
      <c r="S386" s="38"/>
      <c r="T386" s="38"/>
      <c r="U386" s="38"/>
      <c r="V386" s="38"/>
      <c r="W386" s="38"/>
      <c r="X386" s="67" t="str">
        <f>IF(COUNTA(SalCommune[[#This Row],[N°]:[heures annuelles
selon contrat(s)]])=0,"",SalCommune[[#This Row],[Brut]]+SalCommune[[#This Row],[Autres Primes]]+SalCommune[[#This Row],[Part patronale]]-ABS(SalCommune[[#This Row],[Remboursement Mutualité]])-ABS(SalCommune[[#This Row],[Remboursement
Autres]]))</f>
        <v/>
      </c>
      <c r="Y386" s="38"/>
      <c r="Z386"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86" s="8"/>
      <c r="AB386" s="64"/>
      <c r="AC386"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86"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86" s="505"/>
      <c r="AF386" s="187"/>
      <c r="AG386" s="200" t="str">
        <f>IF(COUNTA(SalCommune[[#This Row],[N°]:[heures annuelles
selon contrat(s)]])=0,"",REVEX!$E$9)</f>
        <v/>
      </c>
      <c r="AH386" s="73" t="str">
        <f>IF(SalCommune[[#This Row],[Allocations fonctions]]="","",IF(ISNA(VLOOKUP(SalCommune[[#This Row],[Allocations fonctions]],DROPDOWN[Dropdown82],1,FALSE))=TRUE,"&lt;-- Veuillez choisir l'allocation parmis la liste déroulante.",""))</f>
        <v/>
      </c>
    </row>
    <row r="387" spans="1:34" x14ac:dyDescent="0.25">
      <c r="A387" s="73" t="str">
        <f>IF(SalCommune[[#This Row],[Statut]]="","",IF(ISNA(VLOOKUP(SalCommune[[#This Row],[Statut]],'Grille communale'!$B$3:$B$5,1,FALSE))=TRUE,"Veuillez choisir le statut parmis la liste déroulante",""))</f>
        <v/>
      </c>
      <c r="B387" s="8"/>
      <c r="C387" s="8"/>
      <c r="D387" s="8"/>
      <c r="E387" s="21"/>
      <c r="F387" s="8"/>
      <c r="G387" s="8"/>
      <c r="H387" s="9"/>
      <c r="I387" s="9"/>
      <c r="J387" s="9"/>
      <c r="K387" s="10"/>
      <c r="L387" s="10"/>
      <c r="M387" s="9"/>
      <c r="N387" s="9"/>
      <c r="O387" s="9"/>
      <c r="P387"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87" s="9"/>
      <c r="R387" s="9"/>
      <c r="S387" s="38"/>
      <c r="T387" s="38"/>
      <c r="U387" s="38"/>
      <c r="V387" s="38"/>
      <c r="W387" s="38"/>
      <c r="X387" s="67" t="str">
        <f>IF(COUNTA(SalCommune[[#This Row],[N°]:[heures annuelles
selon contrat(s)]])=0,"",SalCommune[[#This Row],[Brut]]+SalCommune[[#This Row],[Autres Primes]]+SalCommune[[#This Row],[Part patronale]]-ABS(SalCommune[[#This Row],[Remboursement Mutualité]])-ABS(SalCommune[[#This Row],[Remboursement
Autres]]))</f>
        <v/>
      </c>
      <c r="Y387" s="38"/>
      <c r="Z387"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87" s="8"/>
      <c r="AB387" s="64"/>
      <c r="AC387"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87"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87" s="505"/>
      <c r="AF387" s="187"/>
      <c r="AG387" s="200" t="str">
        <f>IF(COUNTA(SalCommune[[#This Row],[N°]:[heures annuelles
selon contrat(s)]])=0,"",REVEX!$E$9)</f>
        <v/>
      </c>
      <c r="AH387" s="73" t="str">
        <f>IF(SalCommune[[#This Row],[Allocations fonctions]]="","",IF(ISNA(VLOOKUP(SalCommune[[#This Row],[Allocations fonctions]],DROPDOWN[Dropdown82],1,FALSE))=TRUE,"&lt;-- Veuillez choisir l'allocation parmis la liste déroulante.",""))</f>
        <v/>
      </c>
    </row>
    <row r="388" spans="1:34" x14ac:dyDescent="0.25">
      <c r="A388" s="73" t="str">
        <f>IF(SalCommune[[#This Row],[Statut]]="","",IF(ISNA(VLOOKUP(SalCommune[[#This Row],[Statut]],'Grille communale'!$B$3:$B$5,1,FALSE))=TRUE,"Veuillez choisir le statut parmis la liste déroulante",""))</f>
        <v/>
      </c>
      <c r="B388" s="8"/>
      <c r="C388" s="8"/>
      <c r="D388" s="8"/>
      <c r="E388" s="21"/>
      <c r="F388" s="8"/>
      <c r="G388" s="8"/>
      <c r="H388" s="9"/>
      <c r="I388" s="9"/>
      <c r="J388" s="9"/>
      <c r="K388" s="10"/>
      <c r="L388" s="10"/>
      <c r="M388" s="9"/>
      <c r="N388" s="9"/>
      <c r="O388" s="9"/>
      <c r="P388"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88" s="9"/>
      <c r="R388" s="9"/>
      <c r="S388" s="38"/>
      <c r="T388" s="38"/>
      <c r="U388" s="38"/>
      <c r="V388" s="38"/>
      <c r="W388" s="38"/>
      <c r="X388" s="67" t="str">
        <f>IF(COUNTA(SalCommune[[#This Row],[N°]:[heures annuelles
selon contrat(s)]])=0,"",SalCommune[[#This Row],[Brut]]+SalCommune[[#This Row],[Autres Primes]]+SalCommune[[#This Row],[Part patronale]]-ABS(SalCommune[[#This Row],[Remboursement Mutualité]])-ABS(SalCommune[[#This Row],[Remboursement
Autres]]))</f>
        <v/>
      </c>
      <c r="Y388" s="38"/>
      <c r="Z388"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88" s="8"/>
      <c r="AB388" s="64"/>
      <c r="AC388"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88"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88" s="505"/>
      <c r="AF388" s="187"/>
      <c r="AG388" s="200" t="str">
        <f>IF(COUNTA(SalCommune[[#This Row],[N°]:[heures annuelles
selon contrat(s)]])=0,"",REVEX!$E$9)</f>
        <v/>
      </c>
      <c r="AH388" s="73" t="str">
        <f>IF(SalCommune[[#This Row],[Allocations fonctions]]="","",IF(ISNA(VLOOKUP(SalCommune[[#This Row],[Allocations fonctions]],DROPDOWN[Dropdown82],1,FALSE))=TRUE,"&lt;-- Veuillez choisir l'allocation parmis la liste déroulante.",""))</f>
        <v/>
      </c>
    </row>
    <row r="389" spans="1:34" x14ac:dyDescent="0.25">
      <c r="A389" s="73" t="str">
        <f>IF(SalCommune[[#This Row],[Statut]]="","",IF(ISNA(VLOOKUP(SalCommune[[#This Row],[Statut]],'Grille communale'!$B$3:$B$5,1,FALSE))=TRUE,"Veuillez choisir le statut parmis la liste déroulante",""))</f>
        <v/>
      </c>
      <c r="B389" s="8"/>
      <c r="C389" s="8"/>
      <c r="D389" s="8"/>
      <c r="E389" s="21"/>
      <c r="F389" s="8"/>
      <c r="G389" s="8"/>
      <c r="H389" s="9"/>
      <c r="I389" s="9"/>
      <c r="J389" s="9"/>
      <c r="K389" s="10"/>
      <c r="L389" s="10"/>
      <c r="M389" s="9"/>
      <c r="N389" s="9"/>
      <c r="O389" s="9"/>
      <c r="P389"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89" s="9"/>
      <c r="R389" s="9"/>
      <c r="S389" s="38"/>
      <c r="T389" s="38"/>
      <c r="U389" s="38"/>
      <c r="V389" s="38"/>
      <c r="W389" s="38"/>
      <c r="X389" s="67" t="str">
        <f>IF(COUNTA(SalCommune[[#This Row],[N°]:[heures annuelles
selon contrat(s)]])=0,"",SalCommune[[#This Row],[Brut]]+SalCommune[[#This Row],[Autres Primes]]+SalCommune[[#This Row],[Part patronale]]-ABS(SalCommune[[#This Row],[Remboursement Mutualité]])-ABS(SalCommune[[#This Row],[Remboursement
Autres]]))</f>
        <v/>
      </c>
      <c r="Y389" s="38"/>
      <c r="Z389"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89" s="8"/>
      <c r="AB389" s="64"/>
      <c r="AC389"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89"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89" s="505"/>
      <c r="AF389" s="187"/>
      <c r="AG389" s="200" t="str">
        <f>IF(COUNTA(SalCommune[[#This Row],[N°]:[heures annuelles
selon contrat(s)]])=0,"",REVEX!$E$9)</f>
        <v/>
      </c>
      <c r="AH389" s="73" t="str">
        <f>IF(SalCommune[[#This Row],[Allocations fonctions]]="","",IF(ISNA(VLOOKUP(SalCommune[[#This Row],[Allocations fonctions]],DROPDOWN[Dropdown82],1,FALSE))=TRUE,"&lt;-- Veuillez choisir l'allocation parmis la liste déroulante.",""))</f>
        <v/>
      </c>
    </row>
    <row r="390" spans="1:34" x14ac:dyDescent="0.25">
      <c r="A390" s="73" t="str">
        <f>IF(SalCommune[[#This Row],[Statut]]="","",IF(ISNA(VLOOKUP(SalCommune[[#This Row],[Statut]],'Grille communale'!$B$3:$B$5,1,FALSE))=TRUE,"Veuillez choisir le statut parmis la liste déroulante",""))</f>
        <v/>
      </c>
      <c r="B390" s="8"/>
      <c r="C390" s="8"/>
      <c r="D390" s="8"/>
      <c r="E390" s="21"/>
      <c r="F390" s="8"/>
      <c r="G390" s="8"/>
      <c r="H390" s="9"/>
      <c r="I390" s="9"/>
      <c r="J390" s="9"/>
      <c r="K390" s="10"/>
      <c r="L390" s="10"/>
      <c r="M390" s="9"/>
      <c r="N390" s="9"/>
      <c r="O390" s="9"/>
      <c r="P390"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90" s="9"/>
      <c r="R390" s="9"/>
      <c r="S390" s="38"/>
      <c r="T390" s="38"/>
      <c r="U390" s="38"/>
      <c r="V390" s="38"/>
      <c r="W390" s="38"/>
      <c r="X390" s="67" t="str">
        <f>IF(COUNTA(SalCommune[[#This Row],[N°]:[heures annuelles
selon contrat(s)]])=0,"",SalCommune[[#This Row],[Brut]]+SalCommune[[#This Row],[Autres Primes]]+SalCommune[[#This Row],[Part patronale]]-ABS(SalCommune[[#This Row],[Remboursement Mutualité]])-ABS(SalCommune[[#This Row],[Remboursement
Autres]]))</f>
        <v/>
      </c>
      <c r="Y390" s="38"/>
      <c r="Z390"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90" s="8"/>
      <c r="AB390" s="64"/>
      <c r="AC390"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90"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90" s="505"/>
      <c r="AF390" s="187"/>
      <c r="AG390" s="200" t="str">
        <f>IF(COUNTA(SalCommune[[#This Row],[N°]:[heures annuelles
selon contrat(s)]])=0,"",REVEX!$E$9)</f>
        <v/>
      </c>
      <c r="AH390" s="73" t="str">
        <f>IF(SalCommune[[#This Row],[Allocations fonctions]]="","",IF(ISNA(VLOOKUP(SalCommune[[#This Row],[Allocations fonctions]],DROPDOWN[Dropdown82],1,FALSE))=TRUE,"&lt;-- Veuillez choisir l'allocation parmis la liste déroulante.",""))</f>
        <v/>
      </c>
    </row>
    <row r="391" spans="1:34" x14ac:dyDescent="0.25">
      <c r="A391" s="73" t="str">
        <f>IF(SalCommune[[#This Row],[Statut]]="","",IF(ISNA(VLOOKUP(SalCommune[[#This Row],[Statut]],'Grille communale'!$B$3:$B$5,1,FALSE))=TRUE,"Veuillez choisir le statut parmis la liste déroulante",""))</f>
        <v/>
      </c>
      <c r="B391" s="8"/>
      <c r="C391" s="8"/>
      <c r="D391" s="8"/>
      <c r="E391" s="21"/>
      <c r="F391" s="8"/>
      <c r="G391" s="8"/>
      <c r="H391" s="9"/>
      <c r="I391" s="9"/>
      <c r="J391" s="9"/>
      <c r="K391" s="10"/>
      <c r="L391" s="10"/>
      <c r="M391" s="9"/>
      <c r="N391" s="9"/>
      <c r="O391" s="9"/>
      <c r="P391"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91" s="9"/>
      <c r="R391" s="9"/>
      <c r="S391" s="38"/>
      <c r="T391" s="38"/>
      <c r="U391" s="38"/>
      <c r="V391" s="38"/>
      <c r="W391" s="38"/>
      <c r="X391" s="67" t="str">
        <f>IF(COUNTA(SalCommune[[#This Row],[N°]:[heures annuelles
selon contrat(s)]])=0,"",SalCommune[[#This Row],[Brut]]+SalCommune[[#This Row],[Autres Primes]]+SalCommune[[#This Row],[Part patronale]]-ABS(SalCommune[[#This Row],[Remboursement Mutualité]])-ABS(SalCommune[[#This Row],[Remboursement
Autres]]))</f>
        <v/>
      </c>
      <c r="Y391" s="38"/>
      <c r="Z391"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91" s="8"/>
      <c r="AB391" s="64"/>
      <c r="AC391"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91"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91" s="505"/>
      <c r="AF391" s="187"/>
      <c r="AG391" s="200" t="str">
        <f>IF(COUNTA(SalCommune[[#This Row],[N°]:[heures annuelles
selon contrat(s)]])=0,"",REVEX!$E$9)</f>
        <v/>
      </c>
      <c r="AH391" s="73" t="str">
        <f>IF(SalCommune[[#This Row],[Allocations fonctions]]="","",IF(ISNA(VLOOKUP(SalCommune[[#This Row],[Allocations fonctions]],DROPDOWN[Dropdown82],1,FALSE))=TRUE,"&lt;-- Veuillez choisir l'allocation parmis la liste déroulante.",""))</f>
        <v/>
      </c>
    </row>
    <row r="392" spans="1:34" x14ac:dyDescent="0.25">
      <c r="A392" s="73" t="str">
        <f>IF(SalCommune[[#This Row],[Statut]]="","",IF(ISNA(VLOOKUP(SalCommune[[#This Row],[Statut]],'Grille communale'!$B$3:$B$5,1,FALSE))=TRUE,"Veuillez choisir le statut parmis la liste déroulante",""))</f>
        <v/>
      </c>
      <c r="B392" s="8"/>
      <c r="C392" s="8"/>
      <c r="D392" s="8"/>
      <c r="E392" s="21"/>
      <c r="F392" s="8"/>
      <c r="G392" s="8"/>
      <c r="H392" s="9"/>
      <c r="I392" s="9"/>
      <c r="J392" s="9"/>
      <c r="K392" s="10"/>
      <c r="L392" s="10"/>
      <c r="M392" s="9"/>
      <c r="N392" s="9"/>
      <c r="O392" s="9"/>
      <c r="P392"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92" s="9"/>
      <c r="R392" s="9"/>
      <c r="S392" s="38"/>
      <c r="T392" s="38"/>
      <c r="U392" s="38"/>
      <c r="V392" s="38"/>
      <c r="W392" s="38"/>
      <c r="X392" s="67" t="str">
        <f>IF(COUNTA(SalCommune[[#This Row],[N°]:[heures annuelles
selon contrat(s)]])=0,"",SalCommune[[#This Row],[Brut]]+SalCommune[[#This Row],[Autres Primes]]+SalCommune[[#This Row],[Part patronale]]-ABS(SalCommune[[#This Row],[Remboursement Mutualité]])-ABS(SalCommune[[#This Row],[Remboursement
Autres]]))</f>
        <v/>
      </c>
      <c r="Y392" s="38"/>
      <c r="Z392"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92" s="8"/>
      <c r="AB392" s="64"/>
      <c r="AC392"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92"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92" s="505"/>
      <c r="AF392" s="187"/>
      <c r="AG392" s="200" t="str">
        <f>IF(COUNTA(SalCommune[[#This Row],[N°]:[heures annuelles
selon contrat(s)]])=0,"",REVEX!$E$9)</f>
        <v/>
      </c>
      <c r="AH392" s="73" t="str">
        <f>IF(SalCommune[[#This Row],[Allocations fonctions]]="","",IF(ISNA(VLOOKUP(SalCommune[[#This Row],[Allocations fonctions]],DROPDOWN[Dropdown82],1,FALSE))=TRUE,"&lt;-- Veuillez choisir l'allocation parmis la liste déroulante.",""))</f>
        <v/>
      </c>
    </row>
    <row r="393" spans="1:34" x14ac:dyDescent="0.25">
      <c r="A393" s="73" t="str">
        <f>IF(SalCommune[[#This Row],[Statut]]="","",IF(ISNA(VLOOKUP(SalCommune[[#This Row],[Statut]],'Grille communale'!$B$3:$B$5,1,FALSE))=TRUE,"Veuillez choisir le statut parmis la liste déroulante",""))</f>
        <v/>
      </c>
      <c r="B393" s="8"/>
      <c r="C393" s="8"/>
      <c r="D393" s="8"/>
      <c r="E393" s="21"/>
      <c r="F393" s="8"/>
      <c r="G393" s="8"/>
      <c r="H393" s="9"/>
      <c r="I393" s="9"/>
      <c r="J393" s="9"/>
      <c r="K393" s="10"/>
      <c r="L393" s="10"/>
      <c r="M393" s="9"/>
      <c r="N393" s="9"/>
      <c r="O393" s="9"/>
      <c r="P393"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93" s="9"/>
      <c r="R393" s="9"/>
      <c r="S393" s="38"/>
      <c r="T393" s="38"/>
      <c r="U393" s="38"/>
      <c r="V393" s="38"/>
      <c r="W393" s="38"/>
      <c r="X393" s="67" t="str">
        <f>IF(COUNTA(SalCommune[[#This Row],[N°]:[heures annuelles
selon contrat(s)]])=0,"",SalCommune[[#This Row],[Brut]]+SalCommune[[#This Row],[Autres Primes]]+SalCommune[[#This Row],[Part patronale]]-ABS(SalCommune[[#This Row],[Remboursement Mutualité]])-ABS(SalCommune[[#This Row],[Remboursement
Autres]]))</f>
        <v/>
      </c>
      <c r="Y393" s="38"/>
      <c r="Z393"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93" s="8"/>
      <c r="AB393" s="64"/>
      <c r="AC393"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93"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93" s="505"/>
      <c r="AF393" s="187"/>
      <c r="AG393" s="200" t="str">
        <f>IF(COUNTA(SalCommune[[#This Row],[N°]:[heures annuelles
selon contrat(s)]])=0,"",REVEX!$E$9)</f>
        <v/>
      </c>
      <c r="AH393" s="73" t="str">
        <f>IF(SalCommune[[#This Row],[Allocations fonctions]]="","",IF(ISNA(VLOOKUP(SalCommune[[#This Row],[Allocations fonctions]],DROPDOWN[Dropdown82],1,FALSE))=TRUE,"&lt;-- Veuillez choisir l'allocation parmis la liste déroulante.",""))</f>
        <v/>
      </c>
    </row>
    <row r="394" spans="1:34" x14ac:dyDescent="0.25">
      <c r="A394" s="73" t="str">
        <f>IF(SalCommune[[#This Row],[Statut]]="","",IF(ISNA(VLOOKUP(SalCommune[[#This Row],[Statut]],'Grille communale'!$B$3:$B$5,1,FALSE))=TRUE,"Veuillez choisir le statut parmis la liste déroulante",""))</f>
        <v/>
      </c>
      <c r="B394" s="8"/>
      <c r="C394" s="8"/>
      <c r="D394" s="8"/>
      <c r="E394" s="21"/>
      <c r="F394" s="8"/>
      <c r="G394" s="8"/>
      <c r="H394" s="9"/>
      <c r="I394" s="9"/>
      <c r="J394" s="9"/>
      <c r="K394" s="10"/>
      <c r="L394" s="10"/>
      <c r="M394" s="9"/>
      <c r="N394" s="9"/>
      <c r="O394" s="9"/>
      <c r="P394"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94" s="9"/>
      <c r="R394" s="9"/>
      <c r="S394" s="38"/>
      <c r="T394" s="38"/>
      <c r="U394" s="38"/>
      <c r="V394" s="38"/>
      <c r="W394" s="38"/>
      <c r="X394" s="67" t="str">
        <f>IF(COUNTA(SalCommune[[#This Row],[N°]:[heures annuelles
selon contrat(s)]])=0,"",SalCommune[[#This Row],[Brut]]+SalCommune[[#This Row],[Autres Primes]]+SalCommune[[#This Row],[Part patronale]]-ABS(SalCommune[[#This Row],[Remboursement Mutualité]])-ABS(SalCommune[[#This Row],[Remboursement
Autres]]))</f>
        <v/>
      </c>
      <c r="Y394" s="38"/>
      <c r="Z394"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94" s="8"/>
      <c r="AB394" s="64"/>
      <c r="AC394"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94"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94" s="505"/>
      <c r="AF394" s="187"/>
      <c r="AG394" s="200" t="str">
        <f>IF(COUNTA(SalCommune[[#This Row],[N°]:[heures annuelles
selon contrat(s)]])=0,"",REVEX!$E$9)</f>
        <v/>
      </c>
      <c r="AH394" s="73" t="str">
        <f>IF(SalCommune[[#This Row],[Allocations fonctions]]="","",IF(ISNA(VLOOKUP(SalCommune[[#This Row],[Allocations fonctions]],DROPDOWN[Dropdown82],1,FALSE))=TRUE,"&lt;-- Veuillez choisir l'allocation parmis la liste déroulante.",""))</f>
        <v/>
      </c>
    </row>
    <row r="395" spans="1:34" x14ac:dyDescent="0.25">
      <c r="A395" s="73" t="str">
        <f>IF(SalCommune[[#This Row],[Statut]]="","",IF(ISNA(VLOOKUP(SalCommune[[#This Row],[Statut]],'Grille communale'!$B$3:$B$5,1,FALSE))=TRUE,"Veuillez choisir le statut parmis la liste déroulante",""))</f>
        <v/>
      </c>
      <c r="B395" s="8"/>
      <c r="C395" s="8"/>
      <c r="D395" s="8"/>
      <c r="E395" s="21"/>
      <c r="F395" s="8"/>
      <c r="G395" s="8"/>
      <c r="H395" s="9"/>
      <c r="I395" s="9"/>
      <c r="J395" s="9"/>
      <c r="K395" s="10"/>
      <c r="L395" s="10"/>
      <c r="M395" s="9"/>
      <c r="N395" s="9"/>
      <c r="O395" s="9"/>
      <c r="P395"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95" s="9"/>
      <c r="R395" s="9"/>
      <c r="S395" s="38"/>
      <c r="T395" s="38"/>
      <c r="U395" s="38"/>
      <c r="V395" s="38"/>
      <c r="W395" s="38"/>
      <c r="X395" s="67" t="str">
        <f>IF(COUNTA(SalCommune[[#This Row],[N°]:[heures annuelles
selon contrat(s)]])=0,"",SalCommune[[#This Row],[Brut]]+SalCommune[[#This Row],[Autres Primes]]+SalCommune[[#This Row],[Part patronale]]-ABS(SalCommune[[#This Row],[Remboursement Mutualité]])-ABS(SalCommune[[#This Row],[Remboursement
Autres]]))</f>
        <v/>
      </c>
      <c r="Y395" s="38"/>
      <c r="Z395"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95" s="8"/>
      <c r="AB395" s="64"/>
      <c r="AC395"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95"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95" s="505"/>
      <c r="AF395" s="187"/>
      <c r="AG395" s="200" t="str">
        <f>IF(COUNTA(SalCommune[[#This Row],[N°]:[heures annuelles
selon contrat(s)]])=0,"",REVEX!$E$9)</f>
        <v/>
      </c>
      <c r="AH395" s="73" t="str">
        <f>IF(SalCommune[[#This Row],[Allocations fonctions]]="","",IF(ISNA(VLOOKUP(SalCommune[[#This Row],[Allocations fonctions]],DROPDOWN[Dropdown82],1,FALSE))=TRUE,"&lt;-- Veuillez choisir l'allocation parmis la liste déroulante.",""))</f>
        <v/>
      </c>
    </row>
    <row r="396" spans="1:34" x14ac:dyDescent="0.25">
      <c r="A396" s="73" t="str">
        <f>IF(SalCommune[[#This Row],[Statut]]="","",IF(ISNA(VLOOKUP(SalCommune[[#This Row],[Statut]],'Grille communale'!$B$3:$B$5,1,FALSE))=TRUE,"Veuillez choisir le statut parmis la liste déroulante",""))</f>
        <v/>
      </c>
      <c r="B396" s="8"/>
      <c r="C396" s="8"/>
      <c r="D396" s="8"/>
      <c r="E396" s="21"/>
      <c r="F396" s="8"/>
      <c r="G396" s="8"/>
      <c r="H396" s="9"/>
      <c r="I396" s="9"/>
      <c r="J396" s="9"/>
      <c r="K396" s="10"/>
      <c r="L396" s="10"/>
      <c r="M396" s="9"/>
      <c r="N396" s="9"/>
      <c r="O396" s="9"/>
      <c r="P396"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96" s="9"/>
      <c r="R396" s="9"/>
      <c r="S396" s="38"/>
      <c r="T396" s="38"/>
      <c r="U396" s="38"/>
      <c r="V396" s="38"/>
      <c r="W396" s="38"/>
      <c r="X396" s="67" t="str">
        <f>IF(COUNTA(SalCommune[[#This Row],[N°]:[heures annuelles
selon contrat(s)]])=0,"",SalCommune[[#This Row],[Brut]]+SalCommune[[#This Row],[Autres Primes]]+SalCommune[[#This Row],[Part patronale]]-ABS(SalCommune[[#This Row],[Remboursement Mutualité]])-ABS(SalCommune[[#This Row],[Remboursement
Autres]]))</f>
        <v/>
      </c>
      <c r="Y396" s="38"/>
      <c r="Z396"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96" s="8"/>
      <c r="AB396" s="64"/>
      <c r="AC396"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96"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96" s="505"/>
      <c r="AF396" s="187"/>
      <c r="AG396" s="200" t="str">
        <f>IF(COUNTA(SalCommune[[#This Row],[N°]:[heures annuelles
selon contrat(s)]])=0,"",REVEX!$E$9)</f>
        <v/>
      </c>
      <c r="AH396" s="73" t="str">
        <f>IF(SalCommune[[#This Row],[Allocations fonctions]]="","",IF(ISNA(VLOOKUP(SalCommune[[#This Row],[Allocations fonctions]],DROPDOWN[Dropdown82],1,FALSE))=TRUE,"&lt;-- Veuillez choisir l'allocation parmis la liste déroulante.",""))</f>
        <v/>
      </c>
    </row>
    <row r="397" spans="1:34" x14ac:dyDescent="0.25">
      <c r="A397" s="73" t="str">
        <f>IF(SalCommune[[#This Row],[Statut]]="","",IF(ISNA(VLOOKUP(SalCommune[[#This Row],[Statut]],'Grille communale'!$B$3:$B$5,1,FALSE))=TRUE,"Veuillez choisir le statut parmis la liste déroulante",""))</f>
        <v/>
      </c>
      <c r="B397" s="8"/>
      <c r="C397" s="8"/>
      <c r="D397" s="8"/>
      <c r="E397" s="21"/>
      <c r="F397" s="8"/>
      <c r="G397" s="8"/>
      <c r="H397" s="9"/>
      <c r="I397" s="9"/>
      <c r="J397" s="9"/>
      <c r="K397" s="10"/>
      <c r="L397" s="10"/>
      <c r="M397" s="9"/>
      <c r="N397" s="9"/>
      <c r="O397" s="9"/>
      <c r="P397"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97" s="9"/>
      <c r="R397" s="9"/>
      <c r="S397" s="38"/>
      <c r="T397" s="38"/>
      <c r="U397" s="38"/>
      <c r="V397" s="38"/>
      <c r="W397" s="38"/>
      <c r="X397" s="67" t="str">
        <f>IF(COUNTA(SalCommune[[#This Row],[N°]:[heures annuelles
selon contrat(s)]])=0,"",SalCommune[[#This Row],[Brut]]+SalCommune[[#This Row],[Autres Primes]]+SalCommune[[#This Row],[Part patronale]]-ABS(SalCommune[[#This Row],[Remboursement Mutualité]])-ABS(SalCommune[[#This Row],[Remboursement
Autres]]))</f>
        <v/>
      </c>
      <c r="Y397" s="38"/>
      <c r="Z397"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97" s="8"/>
      <c r="AB397" s="64"/>
      <c r="AC397"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97"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97" s="505"/>
      <c r="AF397" s="187"/>
      <c r="AG397" s="200" t="str">
        <f>IF(COUNTA(SalCommune[[#This Row],[N°]:[heures annuelles
selon contrat(s)]])=0,"",REVEX!$E$9)</f>
        <v/>
      </c>
      <c r="AH397" s="73" t="str">
        <f>IF(SalCommune[[#This Row],[Allocations fonctions]]="","",IF(ISNA(VLOOKUP(SalCommune[[#This Row],[Allocations fonctions]],DROPDOWN[Dropdown82],1,FALSE))=TRUE,"&lt;-- Veuillez choisir l'allocation parmis la liste déroulante.",""))</f>
        <v/>
      </c>
    </row>
    <row r="398" spans="1:34" x14ac:dyDescent="0.25">
      <c r="A398" s="73" t="str">
        <f>IF(SalCommune[[#This Row],[Statut]]="","",IF(ISNA(VLOOKUP(SalCommune[[#This Row],[Statut]],'Grille communale'!$B$3:$B$5,1,FALSE))=TRUE,"Veuillez choisir le statut parmis la liste déroulante",""))</f>
        <v/>
      </c>
      <c r="B398" s="8"/>
      <c r="C398" s="8"/>
      <c r="D398" s="8"/>
      <c r="E398" s="21"/>
      <c r="F398" s="8"/>
      <c r="G398" s="8"/>
      <c r="H398" s="9"/>
      <c r="I398" s="9"/>
      <c r="J398" s="9"/>
      <c r="K398" s="10"/>
      <c r="L398" s="10"/>
      <c r="M398" s="9"/>
      <c r="N398" s="9"/>
      <c r="O398" s="9"/>
      <c r="P398"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98" s="9"/>
      <c r="R398" s="9"/>
      <c r="S398" s="38"/>
      <c r="T398" s="38"/>
      <c r="U398" s="38"/>
      <c r="V398" s="38"/>
      <c r="W398" s="38"/>
      <c r="X398" s="67" t="str">
        <f>IF(COUNTA(SalCommune[[#This Row],[N°]:[heures annuelles
selon contrat(s)]])=0,"",SalCommune[[#This Row],[Brut]]+SalCommune[[#This Row],[Autres Primes]]+SalCommune[[#This Row],[Part patronale]]-ABS(SalCommune[[#This Row],[Remboursement Mutualité]])-ABS(SalCommune[[#This Row],[Remboursement
Autres]]))</f>
        <v/>
      </c>
      <c r="Y398" s="38"/>
      <c r="Z398"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98" s="8"/>
      <c r="AB398" s="64"/>
      <c r="AC398"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98"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98" s="505"/>
      <c r="AF398" s="187"/>
      <c r="AG398" s="200" t="str">
        <f>IF(COUNTA(SalCommune[[#This Row],[N°]:[heures annuelles
selon contrat(s)]])=0,"",REVEX!$E$9)</f>
        <v/>
      </c>
      <c r="AH398" s="73" t="str">
        <f>IF(SalCommune[[#This Row],[Allocations fonctions]]="","",IF(ISNA(VLOOKUP(SalCommune[[#This Row],[Allocations fonctions]],DROPDOWN[Dropdown82],1,FALSE))=TRUE,"&lt;-- Veuillez choisir l'allocation parmis la liste déroulante.",""))</f>
        <v/>
      </c>
    </row>
    <row r="399" spans="1:34" x14ac:dyDescent="0.25">
      <c r="A399" s="73" t="str">
        <f>IF(SalCommune[[#This Row],[Statut]]="","",IF(ISNA(VLOOKUP(SalCommune[[#This Row],[Statut]],'Grille communale'!$B$3:$B$5,1,FALSE))=TRUE,"Veuillez choisir le statut parmis la liste déroulante",""))</f>
        <v/>
      </c>
      <c r="B399" s="8"/>
      <c r="C399" s="8"/>
      <c r="D399" s="8"/>
      <c r="E399" s="21"/>
      <c r="F399" s="8"/>
      <c r="G399" s="8"/>
      <c r="H399" s="9"/>
      <c r="I399" s="9"/>
      <c r="J399" s="9"/>
      <c r="K399" s="10"/>
      <c r="L399" s="10"/>
      <c r="M399" s="9"/>
      <c r="N399" s="9"/>
      <c r="O399" s="9"/>
      <c r="P399"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399" s="9"/>
      <c r="R399" s="9"/>
      <c r="S399" s="38"/>
      <c r="T399" s="38"/>
      <c r="U399" s="38"/>
      <c r="V399" s="38"/>
      <c r="W399" s="38"/>
      <c r="X399" s="67" t="str">
        <f>IF(COUNTA(SalCommune[[#This Row],[N°]:[heures annuelles
selon contrat(s)]])=0,"",SalCommune[[#This Row],[Brut]]+SalCommune[[#This Row],[Autres Primes]]+SalCommune[[#This Row],[Part patronale]]-ABS(SalCommune[[#This Row],[Remboursement Mutualité]])-ABS(SalCommune[[#This Row],[Remboursement
Autres]]))</f>
        <v/>
      </c>
      <c r="Y399" s="38"/>
      <c r="Z399"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399" s="8"/>
      <c r="AB399" s="64"/>
      <c r="AC399"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399"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399" s="505"/>
      <c r="AF399" s="187"/>
      <c r="AG399" s="200" t="str">
        <f>IF(COUNTA(SalCommune[[#This Row],[N°]:[heures annuelles
selon contrat(s)]])=0,"",REVEX!$E$9)</f>
        <v/>
      </c>
      <c r="AH399" s="73" t="str">
        <f>IF(SalCommune[[#This Row],[Allocations fonctions]]="","",IF(ISNA(VLOOKUP(SalCommune[[#This Row],[Allocations fonctions]],DROPDOWN[Dropdown82],1,FALSE))=TRUE,"&lt;-- Veuillez choisir l'allocation parmis la liste déroulante.",""))</f>
        <v/>
      </c>
    </row>
    <row r="400" spans="1:34" x14ac:dyDescent="0.25">
      <c r="A400" s="73" t="str">
        <f>IF(SalCommune[[#This Row],[Statut]]="","",IF(ISNA(VLOOKUP(SalCommune[[#This Row],[Statut]],'Grille communale'!$B$3:$B$5,1,FALSE))=TRUE,"Veuillez choisir le statut parmis la liste déroulante",""))</f>
        <v/>
      </c>
      <c r="B400" s="8"/>
      <c r="C400" s="8"/>
      <c r="D400" s="8"/>
      <c r="E400" s="21"/>
      <c r="F400" s="8"/>
      <c r="G400" s="8"/>
      <c r="H400" s="9"/>
      <c r="I400" s="9"/>
      <c r="J400" s="9"/>
      <c r="K400" s="10"/>
      <c r="L400" s="10"/>
      <c r="M400" s="9"/>
      <c r="N400" s="9"/>
      <c r="O400" s="9"/>
      <c r="P400"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00" s="9"/>
      <c r="R400" s="9"/>
      <c r="S400" s="38"/>
      <c r="T400" s="38"/>
      <c r="U400" s="38"/>
      <c r="V400" s="38"/>
      <c r="W400" s="38"/>
      <c r="X400" s="67" t="str">
        <f>IF(COUNTA(SalCommune[[#This Row],[N°]:[heures annuelles
selon contrat(s)]])=0,"",SalCommune[[#This Row],[Brut]]+SalCommune[[#This Row],[Autres Primes]]+SalCommune[[#This Row],[Part patronale]]-ABS(SalCommune[[#This Row],[Remboursement Mutualité]])-ABS(SalCommune[[#This Row],[Remboursement
Autres]]))</f>
        <v/>
      </c>
      <c r="Y400" s="38"/>
      <c r="Z400"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00" s="8"/>
      <c r="AB400" s="64"/>
      <c r="AC400"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00"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00" s="505"/>
      <c r="AF400" s="187"/>
      <c r="AG400" s="200" t="str">
        <f>IF(COUNTA(SalCommune[[#This Row],[N°]:[heures annuelles
selon contrat(s)]])=0,"",REVEX!$E$9)</f>
        <v/>
      </c>
      <c r="AH400" s="73" t="str">
        <f>IF(SalCommune[[#This Row],[Allocations fonctions]]="","",IF(ISNA(VLOOKUP(SalCommune[[#This Row],[Allocations fonctions]],DROPDOWN[Dropdown82],1,FALSE))=TRUE,"&lt;-- Veuillez choisir l'allocation parmis la liste déroulante.",""))</f>
        <v/>
      </c>
    </row>
    <row r="401" spans="1:34" x14ac:dyDescent="0.25">
      <c r="A401" s="73" t="str">
        <f>IF(SalCommune[[#This Row],[Statut]]="","",IF(ISNA(VLOOKUP(SalCommune[[#This Row],[Statut]],'Grille communale'!$B$3:$B$5,1,FALSE))=TRUE,"Veuillez choisir le statut parmis la liste déroulante",""))</f>
        <v/>
      </c>
      <c r="B401" s="8"/>
      <c r="C401" s="8"/>
      <c r="D401" s="8"/>
      <c r="E401" s="21"/>
      <c r="F401" s="8"/>
      <c r="G401" s="8"/>
      <c r="H401" s="9"/>
      <c r="I401" s="9"/>
      <c r="J401" s="9"/>
      <c r="K401" s="10"/>
      <c r="L401" s="10"/>
      <c r="M401" s="9"/>
      <c r="N401" s="9"/>
      <c r="O401" s="9"/>
      <c r="P401"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01" s="9"/>
      <c r="R401" s="9"/>
      <c r="S401" s="38"/>
      <c r="T401" s="38"/>
      <c r="U401" s="38"/>
      <c r="V401" s="38"/>
      <c r="W401" s="38"/>
      <c r="X401" s="67" t="str">
        <f>IF(COUNTA(SalCommune[[#This Row],[N°]:[heures annuelles
selon contrat(s)]])=0,"",SalCommune[[#This Row],[Brut]]+SalCommune[[#This Row],[Autres Primes]]+SalCommune[[#This Row],[Part patronale]]-ABS(SalCommune[[#This Row],[Remboursement Mutualité]])-ABS(SalCommune[[#This Row],[Remboursement
Autres]]))</f>
        <v/>
      </c>
      <c r="Y401" s="38"/>
      <c r="Z401"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01" s="8"/>
      <c r="AB401" s="64"/>
      <c r="AC401"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01"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01" s="505"/>
      <c r="AF401" s="187"/>
      <c r="AG401" s="200" t="str">
        <f>IF(COUNTA(SalCommune[[#This Row],[N°]:[heures annuelles
selon contrat(s)]])=0,"",REVEX!$E$9)</f>
        <v/>
      </c>
      <c r="AH401" s="73" t="str">
        <f>IF(SalCommune[[#This Row],[Allocations fonctions]]="","",IF(ISNA(VLOOKUP(SalCommune[[#This Row],[Allocations fonctions]],DROPDOWN[Dropdown82],1,FALSE))=TRUE,"&lt;-- Veuillez choisir l'allocation parmis la liste déroulante.",""))</f>
        <v/>
      </c>
    </row>
    <row r="402" spans="1:34" x14ac:dyDescent="0.25">
      <c r="A402" s="73" t="str">
        <f>IF(SalCommune[[#This Row],[Statut]]="","",IF(ISNA(VLOOKUP(SalCommune[[#This Row],[Statut]],'Grille communale'!$B$3:$B$5,1,FALSE))=TRUE,"Veuillez choisir le statut parmis la liste déroulante",""))</f>
        <v/>
      </c>
      <c r="B402" s="8"/>
      <c r="C402" s="8"/>
      <c r="D402" s="8"/>
      <c r="E402" s="21"/>
      <c r="F402" s="8"/>
      <c r="G402" s="8"/>
      <c r="H402" s="9"/>
      <c r="I402" s="9"/>
      <c r="J402" s="9"/>
      <c r="K402" s="10"/>
      <c r="L402" s="10"/>
      <c r="M402" s="9"/>
      <c r="N402" s="9"/>
      <c r="O402" s="9"/>
      <c r="P402"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02" s="9"/>
      <c r="R402" s="9"/>
      <c r="S402" s="38"/>
      <c r="T402" s="38"/>
      <c r="U402" s="38"/>
      <c r="V402" s="38"/>
      <c r="W402" s="38"/>
      <c r="X402" s="67" t="str">
        <f>IF(COUNTA(SalCommune[[#This Row],[N°]:[heures annuelles
selon contrat(s)]])=0,"",SalCommune[[#This Row],[Brut]]+SalCommune[[#This Row],[Autres Primes]]+SalCommune[[#This Row],[Part patronale]]-ABS(SalCommune[[#This Row],[Remboursement Mutualité]])-ABS(SalCommune[[#This Row],[Remboursement
Autres]]))</f>
        <v/>
      </c>
      <c r="Y402" s="38"/>
      <c r="Z402"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02" s="8"/>
      <c r="AB402" s="64"/>
      <c r="AC402"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02"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02" s="505"/>
      <c r="AF402" s="187"/>
      <c r="AG402" s="200" t="str">
        <f>IF(COUNTA(SalCommune[[#This Row],[N°]:[heures annuelles
selon contrat(s)]])=0,"",REVEX!$E$9)</f>
        <v/>
      </c>
      <c r="AH402" s="73" t="str">
        <f>IF(SalCommune[[#This Row],[Allocations fonctions]]="","",IF(ISNA(VLOOKUP(SalCommune[[#This Row],[Allocations fonctions]],DROPDOWN[Dropdown82],1,FALSE))=TRUE,"&lt;-- Veuillez choisir l'allocation parmis la liste déroulante.",""))</f>
        <v/>
      </c>
    </row>
    <row r="403" spans="1:34" x14ac:dyDescent="0.25">
      <c r="A403" s="73" t="str">
        <f>IF(SalCommune[[#This Row],[Statut]]="","",IF(ISNA(VLOOKUP(SalCommune[[#This Row],[Statut]],'Grille communale'!$B$3:$B$5,1,FALSE))=TRUE,"Veuillez choisir le statut parmis la liste déroulante",""))</f>
        <v/>
      </c>
      <c r="B403" s="8"/>
      <c r="C403" s="8"/>
      <c r="D403" s="8"/>
      <c r="E403" s="21"/>
      <c r="F403" s="8"/>
      <c r="G403" s="8"/>
      <c r="H403" s="9"/>
      <c r="I403" s="9"/>
      <c r="J403" s="9"/>
      <c r="K403" s="10"/>
      <c r="L403" s="10"/>
      <c r="M403" s="9"/>
      <c r="N403" s="9"/>
      <c r="O403" s="9"/>
      <c r="P403"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03" s="9"/>
      <c r="R403" s="9"/>
      <c r="S403" s="38"/>
      <c r="T403" s="38"/>
      <c r="U403" s="38"/>
      <c r="V403" s="38"/>
      <c r="W403" s="38"/>
      <c r="X403" s="67" t="str">
        <f>IF(COUNTA(SalCommune[[#This Row],[N°]:[heures annuelles
selon contrat(s)]])=0,"",SalCommune[[#This Row],[Brut]]+SalCommune[[#This Row],[Autres Primes]]+SalCommune[[#This Row],[Part patronale]]-ABS(SalCommune[[#This Row],[Remboursement Mutualité]])-ABS(SalCommune[[#This Row],[Remboursement
Autres]]))</f>
        <v/>
      </c>
      <c r="Y403" s="38"/>
      <c r="Z403"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03" s="8"/>
      <c r="AB403" s="64"/>
      <c r="AC403"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03"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03" s="505"/>
      <c r="AF403" s="187"/>
      <c r="AG403" s="200" t="str">
        <f>IF(COUNTA(SalCommune[[#This Row],[N°]:[heures annuelles
selon contrat(s)]])=0,"",REVEX!$E$9)</f>
        <v/>
      </c>
      <c r="AH403" s="73" t="str">
        <f>IF(SalCommune[[#This Row],[Allocations fonctions]]="","",IF(ISNA(VLOOKUP(SalCommune[[#This Row],[Allocations fonctions]],DROPDOWN[Dropdown82],1,FALSE))=TRUE,"&lt;-- Veuillez choisir l'allocation parmis la liste déroulante.",""))</f>
        <v/>
      </c>
    </row>
    <row r="404" spans="1:34" x14ac:dyDescent="0.25">
      <c r="A404" s="73" t="str">
        <f>IF(SalCommune[[#This Row],[Statut]]="","",IF(ISNA(VLOOKUP(SalCommune[[#This Row],[Statut]],'Grille communale'!$B$3:$B$5,1,FALSE))=TRUE,"Veuillez choisir le statut parmis la liste déroulante",""))</f>
        <v/>
      </c>
      <c r="B404" s="8"/>
      <c r="C404" s="8"/>
      <c r="D404" s="8"/>
      <c r="E404" s="21"/>
      <c r="F404" s="8"/>
      <c r="G404" s="8"/>
      <c r="H404" s="9"/>
      <c r="I404" s="9"/>
      <c r="J404" s="9"/>
      <c r="K404" s="10"/>
      <c r="L404" s="10"/>
      <c r="M404" s="9"/>
      <c r="N404" s="9"/>
      <c r="O404" s="9"/>
      <c r="P404"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04" s="9"/>
      <c r="R404" s="9"/>
      <c r="S404" s="38"/>
      <c r="T404" s="38"/>
      <c r="U404" s="38"/>
      <c r="V404" s="38"/>
      <c r="W404" s="38"/>
      <c r="X404" s="67" t="str">
        <f>IF(COUNTA(SalCommune[[#This Row],[N°]:[heures annuelles
selon contrat(s)]])=0,"",SalCommune[[#This Row],[Brut]]+SalCommune[[#This Row],[Autres Primes]]+SalCommune[[#This Row],[Part patronale]]-ABS(SalCommune[[#This Row],[Remboursement Mutualité]])-ABS(SalCommune[[#This Row],[Remboursement
Autres]]))</f>
        <v/>
      </c>
      <c r="Y404" s="38"/>
      <c r="Z404"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04" s="8"/>
      <c r="AB404" s="64"/>
      <c r="AC404"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04"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04" s="505"/>
      <c r="AF404" s="187"/>
      <c r="AG404" s="200" t="str">
        <f>IF(COUNTA(SalCommune[[#This Row],[N°]:[heures annuelles
selon contrat(s)]])=0,"",REVEX!$E$9)</f>
        <v/>
      </c>
      <c r="AH404" s="73" t="str">
        <f>IF(SalCommune[[#This Row],[Allocations fonctions]]="","",IF(ISNA(VLOOKUP(SalCommune[[#This Row],[Allocations fonctions]],DROPDOWN[Dropdown82],1,FALSE))=TRUE,"&lt;-- Veuillez choisir l'allocation parmis la liste déroulante.",""))</f>
        <v/>
      </c>
    </row>
    <row r="405" spans="1:34" x14ac:dyDescent="0.25">
      <c r="A405" s="73" t="str">
        <f>IF(SalCommune[[#This Row],[Statut]]="","",IF(ISNA(VLOOKUP(SalCommune[[#This Row],[Statut]],'Grille communale'!$B$3:$B$5,1,FALSE))=TRUE,"Veuillez choisir le statut parmis la liste déroulante",""))</f>
        <v/>
      </c>
      <c r="B405" s="8"/>
      <c r="C405" s="8"/>
      <c r="D405" s="8"/>
      <c r="E405" s="21"/>
      <c r="F405" s="8"/>
      <c r="G405" s="8"/>
      <c r="H405" s="9"/>
      <c r="I405" s="9"/>
      <c r="J405" s="9"/>
      <c r="K405" s="10"/>
      <c r="L405" s="10"/>
      <c r="M405" s="9"/>
      <c r="N405" s="9"/>
      <c r="O405" s="9"/>
      <c r="P405"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05" s="9"/>
      <c r="R405" s="9"/>
      <c r="S405" s="38"/>
      <c r="T405" s="38"/>
      <c r="U405" s="38"/>
      <c r="V405" s="38"/>
      <c r="W405" s="38"/>
      <c r="X405" s="67" t="str">
        <f>IF(COUNTA(SalCommune[[#This Row],[N°]:[heures annuelles
selon contrat(s)]])=0,"",SalCommune[[#This Row],[Brut]]+SalCommune[[#This Row],[Autres Primes]]+SalCommune[[#This Row],[Part patronale]]-ABS(SalCommune[[#This Row],[Remboursement Mutualité]])-ABS(SalCommune[[#This Row],[Remboursement
Autres]]))</f>
        <v/>
      </c>
      <c r="Y405" s="38"/>
      <c r="Z405"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05" s="8"/>
      <c r="AB405" s="64"/>
      <c r="AC405"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05"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05" s="505"/>
      <c r="AF405" s="187"/>
      <c r="AG405" s="200" t="str">
        <f>IF(COUNTA(SalCommune[[#This Row],[N°]:[heures annuelles
selon contrat(s)]])=0,"",REVEX!$E$9)</f>
        <v/>
      </c>
      <c r="AH405" s="73" t="str">
        <f>IF(SalCommune[[#This Row],[Allocations fonctions]]="","",IF(ISNA(VLOOKUP(SalCommune[[#This Row],[Allocations fonctions]],DROPDOWN[Dropdown82],1,FALSE))=TRUE,"&lt;-- Veuillez choisir l'allocation parmis la liste déroulante.",""))</f>
        <v/>
      </c>
    </row>
    <row r="406" spans="1:34" x14ac:dyDescent="0.25">
      <c r="A406" s="73" t="str">
        <f>IF(SalCommune[[#This Row],[Statut]]="","",IF(ISNA(VLOOKUP(SalCommune[[#This Row],[Statut]],'Grille communale'!$B$3:$B$5,1,FALSE))=TRUE,"Veuillez choisir le statut parmis la liste déroulante",""))</f>
        <v/>
      </c>
      <c r="B406" s="8"/>
      <c r="C406" s="8"/>
      <c r="D406" s="8"/>
      <c r="E406" s="21"/>
      <c r="F406" s="8"/>
      <c r="G406" s="8"/>
      <c r="H406" s="9"/>
      <c r="I406" s="9"/>
      <c r="J406" s="9"/>
      <c r="K406" s="10"/>
      <c r="L406" s="10"/>
      <c r="M406" s="9"/>
      <c r="N406" s="9"/>
      <c r="O406" s="9"/>
      <c r="P406"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06" s="9"/>
      <c r="R406" s="9"/>
      <c r="S406" s="38"/>
      <c r="T406" s="38"/>
      <c r="U406" s="38"/>
      <c r="V406" s="38"/>
      <c r="W406" s="38"/>
      <c r="X406" s="67" t="str">
        <f>IF(COUNTA(SalCommune[[#This Row],[N°]:[heures annuelles
selon contrat(s)]])=0,"",SalCommune[[#This Row],[Brut]]+SalCommune[[#This Row],[Autres Primes]]+SalCommune[[#This Row],[Part patronale]]-ABS(SalCommune[[#This Row],[Remboursement Mutualité]])-ABS(SalCommune[[#This Row],[Remboursement
Autres]]))</f>
        <v/>
      </c>
      <c r="Y406" s="38"/>
      <c r="Z406"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06" s="8"/>
      <c r="AB406" s="64"/>
      <c r="AC406"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06"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06" s="505"/>
      <c r="AF406" s="187"/>
      <c r="AG406" s="200" t="str">
        <f>IF(COUNTA(SalCommune[[#This Row],[N°]:[heures annuelles
selon contrat(s)]])=0,"",REVEX!$E$9)</f>
        <v/>
      </c>
      <c r="AH406" s="73" t="str">
        <f>IF(SalCommune[[#This Row],[Allocations fonctions]]="","",IF(ISNA(VLOOKUP(SalCommune[[#This Row],[Allocations fonctions]],DROPDOWN[Dropdown82],1,FALSE))=TRUE,"&lt;-- Veuillez choisir l'allocation parmis la liste déroulante.",""))</f>
        <v/>
      </c>
    </row>
    <row r="407" spans="1:34" x14ac:dyDescent="0.25">
      <c r="A407" s="73" t="str">
        <f>IF(SalCommune[[#This Row],[Statut]]="","",IF(ISNA(VLOOKUP(SalCommune[[#This Row],[Statut]],'Grille communale'!$B$3:$B$5,1,FALSE))=TRUE,"Veuillez choisir le statut parmis la liste déroulante",""))</f>
        <v/>
      </c>
      <c r="B407" s="8"/>
      <c r="C407" s="8"/>
      <c r="D407" s="8"/>
      <c r="E407" s="21"/>
      <c r="F407" s="8"/>
      <c r="G407" s="8"/>
      <c r="H407" s="9"/>
      <c r="I407" s="9"/>
      <c r="J407" s="9"/>
      <c r="K407" s="10"/>
      <c r="L407" s="10"/>
      <c r="M407" s="9"/>
      <c r="N407" s="9"/>
      <c r="O407" s="9"/>
      <c r="P407"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07" s="9"/>
      <c r="R407" s="9"/>
      <c r="S407" s="38"/>
      <c r="T407" s="38"/>
      <c r="U407" s="38"/>
      <c r="V407" s="38"/>
      <c r="W407" s="38"/>
      <c r="X407" s="67" t="str">
        <f>IF(COUNTA(SalCommune[[#This Row],[N°]:[heures annuelles
selon contrat(s)]])=0,"",SalCommune[[#This Row],[Brut]]+SalCommune[[#This Row],[Autres Primes]]+SalCommune[[#This Row],[Part patronale]]-ABS(SalCommune[[#This Row],[Remboursement Mutualité]])-ABS(SalCommune[[#This Row],[Remboursement
Autres]]))</f>
        <v/>
      </c>
      <c r="Y407" s="38"/>
      <c r="Z407"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07" s="8"/>
      <c r="AB407" s="64"/>
      <c r="AC407"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07"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07" s="505"/>
      <c r="AF407" s="187"/>
      <c r="AG407" s="200" t="str">
        <f>IF(COUNTA(SalCommune[[#This Row],[N°]:[heures annuelles
selon contrat(s)]])=0,"",REVEX!$E$9)</f>
        <v/>
      </c>
      <c r="AH407" s="73" t="str">
        <f>IF(SalCommune[[#This Row],[Allocations fonctions]]="","",IF(ISNA(VLOOKUP(SalCommune[[#This Row],[Allocations fonctions]],DROPDOWN[Dropdown82],1,FALSE))=TRUE,"&lt;-- Veuillez choisir l'allocation parmis la liste déroulante.",""))</f>
        <v/>
      </c>
    </row>
    <row r="408" spans="1:34" x14ac:dyDescent="0.25">
      <c r="A408" s="73" t="str">
        <f>IF(SalCommune[[#This Row],[Statut]]="","",IF(ISNA(VLOOKUP(SalCommune[[#This Row],[Statut]],'Grille communale'!$B$3:$B$5,1,FALSE))=TRUE,"Veuillez choisir le statut parmis la liste déroulante",""))</f>
        <v/>
      </c>
      <c r="B408" s="8"/>
      <c r="C408" s="8"/>
      <c r="D408" s="8"/>
      <c r="E408" s="21"/>
      <c r="F408" s="8"/>
      <c r="G408" s="8"/>
      <c r="H408" s="9"/>
      <c r="I408" s="9"/>
      <c r="J408" s="9"/>
      <c r="K408" s="10"/>
      <c r="L408" s="10"/>
      <c r="M408" s="9"/>
      <c r="N408" s="9"/>
      <c r="O408" s="9"/>
      <c r="P408"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08" s="9"/>
      <c r="R408" s="9"/>
      <c r="S408" s="38"/>
      <c r="T408" s="38"/>
      <c r="U408" s="38"/>
      <c r="V408" s="38"/>
      <c r="W408" s="38"/>
      <c r="X408" s="67" t="str">
        <f>IF(COUNTA(SalCommune[[#This Row],[N°]:[heures annuelles
selon contrat(s)]])=0,"",SalCommune[[#This Row],[Brut]]+SalCommune[[#This Row],[Autres Primes]]+SalCommune[[#This Row],[Part patronale]]-ABS(SalCommune[[#This Row],[Remboursement Mutualité]])-ABS(SalCommune[[#This Row],[Remboursement
Autres]]))</f>
        <v/>
      </c>
      <c r="Y408" s="38"/>
      <c r="Z408"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08" s="8"/>
      <c r="AB408" s="64"/>
      <c r="AC408"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08"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08" s="505"/>
      <c r="AF408" s="187"/>
      <c r="AG408" s="200" t="str">
        <f>IF(COUNTA(SalCommune[[#This Row],[N°]:[heures annuelles
selon contrat(s)]])=0,"",REVEX!$E$9)</f>
        <v/>
      </c>
      <c r="AH408" s="73" t="str">
        <f>IF(SalCommune[[#This Row],[Allocations fonctions]]="","",IF(ISNA(VLOOKUP(SalCommune[[#This Row],[Allocations fonctions]],DROPDOWN[Dropdown82],1,FALSE))=TRUE,"&lt;-- Veuillez choisir l'allocation parmis la liste déroulante.",""))</f>
        <v/>
      </c>
    </row>
    <row r="409" spans="1:34" x14ac:dyDescent="0.25">
      <c r="A409" s="73" t="str">
        <f>IF(SalCommune[[#This Row],[Statut]]="","",IF(ISNA(VLOOKUP(SalCommune[[#This Row],[Statut]],'Grille communale'!$B$3:$B$5,1,FALSE))=TRUE,"Veuillez choisir le statut parmis la liste déroulante",""))</f>
        <v/>
      </c>
      <c r="B409" s="8"/>
      <c r="C409" s="8"/>
      <c r="D409" s="8"/>
      <c r="E409" s="21"/>
      <c r="F409" s="8"/>
      <c r="G409" s="8"/>
      <c r="H409" s="9"/>
      <c r="I409" s="9"/>
      <c r="J409" s="9"/>
      <c r="K409" s="10"/>
      <c r="L409" s="10"/>
      <c r="M409" s="9"/>
      <c r="N409" s="9"/>
      <c r="O409" s="9"/>
      <c r="P409"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09" s="9"/>
      <c r="R409" s="9"/>
      <c r="S409" s="38"/>
      <c r="T409" s="38"/>
      <c r="U409" s="38"/>
      <c r="V409" s="38"/>
      <c r="W409" s="38"/>
      <c r="X409" s="67" t="str">
        <f>IF(COUNTA(SalCommune[[#This Row],[N°]:[heures annuelles
selon contrat(s)]])=0,"",SalCommune[[#This Row],[Brut]]+SalCommune[[#This Row],[Autres Primes]]+SalCommune[[#This Row],[Part patronale]]-ABS(SalCommune[[#This Row],[Remboursement Mutualité]])-ABS(SalCommune[[#This Row],[Remboursement
Autres]]))</f>
        <v/>
      </c>
      <c r="Y409" s="38"/>
      <c r="Z409"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09" s="8"/>
      <c r="AB409" s="64"/>
      <c r="AC409"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09"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09" s="505"/>
      <c r="AF409" s="187"/>
      <c r="AG409" s="200" t="str">
        <f>IF(COUNTA(SalCommune[[#This Row],[N°]:[heures annuelles
selon contrat(s)]])=0,"",REVEX!$E$9)</f>
        <v/>
      </c>
      <c r="AH409" s="73" t="str">
        <f>IF(SalCommune[[#This Row],[Allocations fonctions]]="","",IF(ISNA(VLOOKUP(SalCommune[[#This Row],[Allocations fonctions]],DROPDOWN[Dropdown82],1,FALSE))=TRUE,"&lt;-- Veuillez choisir l'allocation parmis la liste déroulante.",""))</f>
        <v/>
      </c>
    </row>
    <row r="410" spans="1:34" x14ac:dyDescent="0.25">
      <c r="A410" s="73" t="str">
        <f>IF(SalCommune[[#This Row],[Statut]]="","",IF(ISNA(VLOOKUP(SalCommune[[#This Row],[Statut]],'Grille communale'!$B$3:$B$5,1,FALSE))=TRUE,"Veuillez choisir le statut parmis la liste déroulante",""))</f>
        <v/>
      </c>
      <c r="B410" s="8"/>
      <c r="C410" s="8"/>
      <c r="D410" s="8"/>
      <c r="E410" s="21"/>
      <c r="F410" s="8"/>
      <c r="G410" s="8"/>
      <c r="H410" s="9"/>
      <c r="I410" s="9"/>
      <c r="J410" s="9"/>
      <c r="K410" s="10"/>
      <c r="L410" s="10"/>
      <c r="M410" s="9"/>
      <c r="N410" s="9"/>
      <c r="O410" s="9"/>
      <c r="P410"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10" s="9"/>
      <c r="R410" s="9"/>
      <c r="S410" s="38"/>
      <c r="T410" s="38"/>
      <c r="U410" s="38"/>
      <c r="V410" s="38"/>
      <c r="W410" s="38"/>
      <c r="X410" s="67" t="str">
        <f>IF(COUNTA(SalCommune[[#This Row],[N°]:[heures annuelles
selon contrat(s)]])=0,"",SalCommune[[#This Row],[Brut]]+SalCommune[[#This Row],[Autres Primes]]+SalCommune[[#This Row],[Part patronale]]-ABS(SalCommune[[#This Row],[Remboursement Mutualité]])-ABS(SalCommune[[#This Row],[Remboursement
Autres]]))</f>
        <v/>
      </c>
      <c r="Y410" s="38"/>
      <c r="Z410"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10" s="8"/>
      <c r="AB410" s="64"/>
      <c r="AC410"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10"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10" s="505"/>
      <c r="AF410" s="187"/>
      <c r="AG410" s="200" t="str">
        <f>IF(COUNTA(SalCommune[[#This Row],[N°]:[heures annuelles
selon contrat(s)]])=0,"",REVEX!$E$9)</f>
        <v/>
      </c>
      <c r="AH410" s="73" t="str">
        <f>IF(SalCommune[[#This Row],[Allocations fonctions]]="","",IF(ISNA(VLOOKUP(SalCommune[[#This Row],[Allocations fonctions]],DROPDOWN[Dropdown82],1,FALSE))=TRUE,"&lt;-- Veuillez choisir l'allocation parmis la liste déroulante.",""))</f>
        <v/>
      </c>
    </row>
    <row r="411" spans="1:34" x14ac:dyDescent="0.25">
      <c r="A411" s="73" t="str">
        <f>IF(SalCommune[[#This Row],[Statut]]="","",IF(ISNA(VLOOKUP(SalCommune[[#This Row],[Statut]],'Grille communale'!$B$3:$B$5,1,FALSE))=TRUE,"Veuillez choisir le statut parmis la liste déroulante",""))</f>
        <v/>
      </c>
      <c r="B411" s="8"/>
      <c r="C411" s="8"/>
      <c r="D411" s="8"/>
      <c r="E411" s="21"/>
      <c r="F411" s="8"/>
      <c r="G411" s="8"/>
      <c r="H411" s="9"/>
      <c r="I411" s="9"/>
      <c r="J411" s="9"/>
      <c r="K411" s="10"/>
      <c r="L411" s="10"/>
      <c r="M411" s="9"/>
      <c r="N411" s="9"/>
      <c r="O411" s="9"/>
      <c r="P411"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11" s="9"/>
      <c r="R411" s="9"/>
      <c r="S411" s="38"/>
      <c r="T411" s="38"/>
      <c r="U411" s="38"/>
      <c r="V411" s="38"/>
      <c r="W411" s="38"/>
      <c r="X411" s="67" t="str">
        <f>IF(COUNTA(SalCommune[[#This Row],[N°]:[heures annuelles
selon contrat(s)]])=0,"",SalCommune[[#This Row],[Brut]]+SalCommune[[#This Row],[Autres Primes]]+SalCommune[[#This Row],[Part patronale]]-ABS(SalCommune[[#This Row],[Remboursement Mutualité]])-ABS(SalCommune[[#This Row],[Remboursement
Autres]]))</f>
        <v/>
      </c>
      <c r="Y411" s="38"/>
      <c r="Z411"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11" s="8"/>
      <c r="AB411" s="64"/>
      <c r="AC411"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11"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11" s="505"/>
      <c r="AF411" s="187"/>
      <c r="AG411" s="200" t="str">
        <f>IF(COUNTA(SalCommune[[#This Row],[N°]:[heures annuelles
selon contrat(s)]])=0,"",REVEX!$E$9)</f>
        <v/>
      </c>
      <c r="AH411" s="73" t="str">
        <f>IF(SalCommune[[#This Row],[Allocations fonctions]]="","",IF(ISNA(VLOOKUP(SalCommune[[#This Row],[Allocations fonctions]],DROPDOWN[Dropdown82],1,FALSE))=TRUE,"&lt;-- Veuillez choisir l'allocation parmis la liste déroulante.",""))</f>
        <v/>
      </c>
    </row>
    <row r="412" spans="1:34" x14ac:dyDescent="0.25">
      <c r="A412" s="73" t="str">
        <f>IF(SalCommune[[#This Row],[Statut]]="","",IF(ISNA(VLOOKUP(SalCommune[[#This Row],[Statut]],'Grille communale'!$B$3:$B$5,1,FALSE))=TRUE,"Veuillez choisir le statut parmis la liste déroulante",""))</f>
        <v/>
      </c>
      <c r="B412" s="8"/>
      <c r="C412" s="8"/>
      <c r="D412" s="8"/>
      <c r="E412" s="21"/>
      <c r="F412" s="8"/>
      <c r="G412" s="8"/>
      <c r="H412" s="9"/>
      <c r="I412" s="9"/>
      <c r="J412" s="9"/>
      <c r="K412" s="10"/>
      <c r="L412" s="10"/>
      <c r="M412" s="9"/>
      <c r="N412" s="9"/>
      <c r="O412" s="9"/>
      <c r="P412"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12" s="9"/>
      <c r="R412" s="9"/>
      <c r="S412" s="38"/>
      <c r="T412" s="38"/>
      <c r="U412" s="38"/>
      <c r="V412" s="38"/>
      <c r="W412" s="38"/>
      <c r="X412" s="67" t="str">
        <f>IF(COUNTA(SalCommune[[#This Row],[N°]:[heures annuelles
selon contrat(s)]])=0,"",SalCommune[[#This Row],[Brut]]+SalCommune[[#This Row],[Autres Primes]]+SalCommune[[#This Row],[Part patronale]]-ABS(SalCommune[[#This Row],[Remboursement Mutualité]])-ABS(SalCommune[[#This Row],[Remboursement
Autres]]))</f>
        <v/>
      </c>
      <c r="Y412" s="38"/>
      <c r="Z412"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12" s="8"/>
      <c r="AB412" s="64"/>
      <c r="AC412"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12"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12" s="505"/>
      <c r="AF412" s="187"/>
      <c r="AG412" s="200" t="str">
        <f>IF(COUNTA(SalCommune[[#This Row],[N°]:[heures annuelles
selon contrat(s)]])=0,"",REVEX!$E$9)</f>
        <v/>
      </c>
      <c r="AH412" s="73" t="str">
        <f>IF(SalCommune[[#This Row],[Allocations fonctions]]="","",IF(ISNA(VLOOKUP(SalCommune[[#This Row],[Allocations fonctions]],DROPDOWN[Dropdown82],1,FALSE))=TRUE,"&lt;-- Veuillez choisir l'allocation parmis la liste déroulante.",""))</f>
        <v/>
      </c>
    </row>
    <row r="413" spans="1:34" x14ac:dyDescent="0.25">
      <c r="A413" s="73" t="str">
        <f>IF(SalCommune[[#This Row],[Statut]]="","",IF(ISNA(VLOOKUP(SalCommune[[#This Row],[Statut]],'Grille communale'!$B$3:$B$5,1,FALSE))=TRUE,"Veuillez choisir le statut parmis la liste déroulante",""))</f>
        <v/>
      </c>
      <c r="B413" s="8"/>
      <c r="C413" s="8"/>
      <c r="D413" s="8"/>
      <c r="E413" s="21"/>
      <c r="F413" s="8"/>
      <c r="G413" s="8"/>
      <c r="H413" s="9"/>
      <c r="I413" s="9"/>
      <c r="J413" s="9"/>
      <c r="K413" s="10"/>
      <c r="L413" s="10"/>
      <c r="M413" s="9"/>
      <c r="N413" s="9"/>
      <c r="O413" s="9"/>
      <c r="P413"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13" s="9"/>
      <c r="R413" s="9"/>
      <c r="S413" s="38"/>
      <c r="T413" s="38"/>
      <c r="U413" s="38"/>
      <c r="V413" s="38"/>
      <c r="W413" s="38"/>
      <c r="X413" s="67" t="str">
        <f>IF(COUNTA(SalCommune[[#This Row],[N°]:[heures annuelles
selon contrat(s)]])=0,"",SalCommune[[#This Row],[Brut]]+SalCommune[[#This Row],[Autres Primes]]+SalCommune[[#This Row],[Part patronale]]-ABS(SalCommune[[#This Row],[Remboursement Mutualité]])-ABS(SalCommune[[#This Row],[Remboursement
Autres]]))</f>
        <v/>
      </c>
      <c r="Y413" s="38"/>
      <c r="Z413"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13" s="8"/>
      <c r="AB413" s="64"/>
      <c r="AC413"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13"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13" s="505"/>
      <c r="AF413" s="187"/>
      <c r="AG413" s="200" t="str">
        <f>IF(COUNTA(SalCommune[[#This Row],[N°]:[heures annuelles
selon contrat(s)]])=0,"",REVEX!$E$9)</f>
        <v/>
      </c>
      <c r="AH413" s="73" t="str">
        <f>IF(SalCommune[[#This Row],[Allocations fonctions]]="","",IF(ISNA(VLOOKUP(SalCommune[[#This Row],[Allocations fonctions]],DROPDOWN[Dropdown82],1,FALSE))=TRUE,"&lt;-- Veuillez choisir l'allocation parmis la liste déroulante.",""))</f>
        <v/>
      </c>
    </row>
    <row r="414" spans="1:34" x14ac:dyDescent="0.25">
      <c r="A414" s="73" t="str">
        <f>IF(SalCommune[[#This Row],[Statut]]="","",IF(ISNA(VLOOKUP(SalCommune[[#This Row],[Statut]],'Grille communale'!$B$3:$B$5,1,FALSE))=TRUE,"Veuillez choisir le statut parmis la liste déroulante",""))</f>
        <v/>
      </c>
      <c r="B414" s="8"/>
      <c r="C414" s="8"/>
      <c r="D414" s="8"/>
      <c r="E414" s="21"/>
      <c r="F414" s="8"/>
      <c r="G414" s="8"/>
      <c r="H414" s="9"/>
      <c r="I414" s="9"/>
      <c r="J414" s="9"/>
      <c r="K414" s="10"/>
      <c r="L414" s="10"/>
      <c r="M414" s="9"/>
      <c r="N414" s="9"/>
      <c r="O414" s="9"/>
      <c r="P414"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14" s="9"/>
      <c r="R414" s="9"/>
      <c r="S414" s="38"/>
      <c r="T414" s="38"/>
      <c r="U414" s="38"/>
      <c r="V414" s="38"/>
      <c r="W414" s="38"/>
      <c r="X414" s="67" t="str">
        <f>IF(COUNTA(SalCommune[[#This Row],[N°]:[heures annuelles
selon contrat(s)]])=0,"",SalCommune[[#This Row],[Brut]]+SalCommune[[#This Row],[Autres Primes]]+SalCommune[[#This Row],[Part patronale]]-ABS(SalCommune[[#This Row],[Remboursement Mutualité]])-ABS(SalCommune[[#This Row],[Remboursement
Autres]]))</f>
        <v/>
      </c>
      <c r="Y414" s="38"/>
      <c r="Z414"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14" s="8"/>
      <c r="AB414" s="64"/>
      <c r="AC414"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14"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14" s="505"/>
      <c r="AF414" s="187"/>
      <c r="AG414" s="200" t="str">
        <f>IF(COUNTA(SalCommune[[#This Row],[N°]:[heures annuelles
selon contrat(s)]])=0,"",REVEX!$E$9)</f>
        <v/>
      </c>
      <c r="AH414" s="73" t="str">
        <f>IF(SalCommune[[#This Row],[Allocations fonctions]]="","",IF(ISNA(VLOOKUP(SalCommune[[#This Row],[Allocations fonctions]],DROPDOWN[Dropdown82],1,FALSE))=TRUE,"&lt;-- Veuillez choisir l'allocation parmis la liste déroulante.",""))</f>
        <v/>
      </c>
    </row>
    <row r="415" spans="1:34" x14ac:dyDescent="0.25">
      <c r="A415" s="73" t="str">
        <f>IF(SalCommune[[#This Row],[Statut]]="","",IF(ISNA(VLOOKUP(SalCommune[[#This Row],[Statut]],'Grille communale'!$B$3:$B$5,1,FALSE))=TRUE,"Veuillez choisir le statut parmis la liste déroulante",""))</f>
        <v/>
      </c>
      <c r="B415" s="8"/>
      <c r="C415" s="8"/>
      <c r="D415" s="8"/>
      <c r="E415" s="21"/>
      <c r="F415" s="8"/>
      <c r="G415" s="8"/>
      <c r="H415" s="9"/>
      <c r="I415" s="9"/>
      <c r="J415" s="9"/>
      <c r="K415" s="10"/>
      <c r="L415" s="10"/>
      <c r="M415" s="9"/>
      <c r="N415" s="9"/>
      <c r="O415" s="9"/>
      <c r="P415"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15" s="9"/>
      <c r="R415" s="9"/>
      <c r="S415" s="38"/>
      <c r="T415" s="38"/>
      <c r="U415" s="38"/>
      <c r="V415" s="38"/>
      <c r="W415" s="38"/>
      <c r="X415" s="67" t="str">
        <f>IF(COUNTA(SalCommune[[#This Row],[N°]:[heures annuelles
selon contrat(s)]])=0,"",SalCommune[[#This Row],[Brut]]+SalCommune[[#This Row],[Autres Primes]]+SalCommune[[#This Row],[Part patronale]]-ABS(SalCommune[[#This Row],[Remboursement Mutualité]])-ABS(SalCommune[[#This Row],[Remboursement
Autres]]))</f>
        <v/>
      </c>
      <c r="Y415" s="38"/>
      <c r="Z415"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15" s="8"/>
      <c r="AB415" s="64"/>
      <c r="AC415"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15"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15" s="505"/>
      <c r="AF415" s="187"/>
      <c r="AG415" s="200" t="str">
        <f>IF(COUNTA(SalCommune[[#This Row],[N°]:[heures annuelles
selon contrat(s)]])=0,"",REVEX!$E$9)</f>
        <v/>
      </c>
      <c r="AH415" s="73" t="str">
        <f>IF(SalCommune[[#This Row],[Allocations fonctions]]="","",IF(ISNA(VLOOKUP(SalCommune[[#This Row],[Allocations fonctions]],DROPDOWN[Dropdown82],1,FALSE))=TRUE,"&lt;-- Veuillez choisir l'allocation parmis la liste déroulante.",""))</f>
        <v/>
      </c>
    </row>
    <row r="416" spans="1:34" x14ac:dyDescent="0.25">
      <c r="A416" s="73" t="str">
        <f>IF(SalCommune[[#This Row],[Statut]]="","",IF(ISNA(VLOOKUP(SalCommune[[#This Row],[Statut]],'Grille communale'!$B$3:$B$5,1,FALSE))=TRUE,"Veuillez choisir le statut parmis la liste déroulante",""))</f>
        <v/>
      </c>
      <c r="B416" s="8"/>
      <c r="C416" s="8"/>
      <c r="D416" s="8"/>
      <c r="E416" s="21"/>
      <c r="F416" s="8"/>
      <c r="G416" s="8"/>
      <c r="H416" s="9"/>
      <c r="I416" s="9"/>
      <c r="J416" s="9"/>
      <c r="K416" s="10"/>
      <c r="L416" s="10"/>
      <c r="M416" s="9"/>
      <c r="N416" s="9"/>
      <c r="O416" s="9"/>
      <c r="P416"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16" s="9"/>
      <c r="R416" s="9"/>
      <c r="S416" s="38"/>
      <c r="T416" s="38"/>
      <c r="U416" s="38"/>
      <c r="V416" s="38"/>
      <c r="W416" s="38"/>
      <c r="X416" s="67" t="str">
        <f>IF(COUNTA(SalCommune[[#This Row],[N°]:[heures annuelles
selon contrat(s)]])=0,"",SalCommune[[#This Row],[Brut]]+SalCommune[[#This Row],[Autres Primes]]+SalCommune[[#This Row],[Part patronale]]-ABS(SalCommune[[#This Row],[Remboursement Mutualité]])-ABS(SalCommune[[#This Row],[Remboursement
Autres]]))</f>
        <v/>
      </c>
      <c r="Y416" s="38"/>
      <c r="Z416"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16" s="8"/>
      <c r="AB416" s="64"/>
      <c r="AC416"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16"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16" s="505"/>
      <c r="AF416" s="187"/>
      <c r="AG416" s="200" t="str">
        <f>IF(COUNTA(SalCommune[[#This Row],[N°]:[heures annuelles
selon contrat(s)]])=0,"",REVEX!$E$9)</f>
        <v/>
      </c>
      <c r="AH416" s="73" t="str">
        <f>IF(SalCommune[[#This Row],[Allocations fonctions]]="","",IF(ISNA(VLOOKUP(SalCommune[[#This Row],[Allocations fonctions]],DROPDOWN[Dropdown82],1,FALSE))=TRUE,"&lt;-- Veuillez choisir l'allocation parmis la liste déroulante.",""))</f>
        <v/>
      </c>
    </row>
    <row r="417" spans="1:34" x14ac:dyDescent="0.25">
      <c r="A417" s="73" t="str">
        <f>IF(SalCommune[[#This Row],[Statut]]="","",IF(ISNA(VLOOKUP(SalCommune[[#This Row],[Statut]],'Grille communale'!$B$3:$B$5,1,FALSE))=TRUE,"Veuillez choisir le statut parmis la liste déroulante",""))</f>
        <v/>
      </c>
      <c r="B417" s="8"/>
      <c r="C417" s="8"/>
      <c r="D417" s="8"/>
      <c r="E417" s="21"/>
      <c r="F417" s="8"/>
      <c r="G417" s="8"/>
      <c r="H417" s="9"/>
      <c r="I417" s="9"/>
      <c r="J417" s="9"/>
      <c r="K417" s="10"/>
      <c r="L417" s="10"/>
      <c r="M417" s="9"/>
      <c r="N417" s="9"/>
      <c r="O417" s="9"/>
      <c r="P417"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17" s="9"/>
      <c r="R417" s="9"/>
      <c r="S417" s="38"/>
      <c r="T417" s="38"/>
      <c r="U417" s="38"/>
      <c r="V417" s="38"/>
      <c r="W417" s="38"/>
      <c r="X417" s="67" t="str">
        <f>IF(COUNTA(SalCommune[[#This Row],[N°]:[heures annuelles
selon contrat(s)]])=0,"",SalCommune[[#This Row],[Brut]]+SalCommune[[#This Row],[Autres Primes]]+SalCommune[[#This Row],[Part patronale]]-ABS(SalCommune[[#This Row],[Remboursement Mutualité]])-ABS(SalCommune[[#This Row],[Remboursement
Autres]]))</f>
        <v/>
      </c>
      <c r="Y417" s="38"/>
      <c r="Z417"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17" s="8"/>
      <c r="AB417" s="64"/>
      <c r="AC417"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17"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17" s="505"/>
      <c r="AF417" s="187"/>
      <c r="AG417" s="200" t="str">
        <f>IF(COUNTA(SalCommune[[#This Row],[N°]:[heures annuelles
selon contrat(s)]])=0,"",REVEX!$E$9)</f>
        <v/>
      </c>
      <c r="AH417" s="73" t="str">
        <f>IF(SalCommune[[#This Row],[Allocations fonctions]]="","",IF(ISNA(VLOOKUP(SalCommune[[#This Row],[Allocations fonctions]],DROPDOWN[Dropdown82],1,FALSE))=TRUE,"&lt;-- Veuillez choisir l'allocation parmis la liste déroulante.",""))</f>
        <v/>
      </c>
    </row>
    <row r="418" spans="1:34" x14ac:dyDescent="0.25">
      <c r="A418" s="73" t="str">
        <f>IF(SalCommune[[#This Row],[Statut]]="","",IF(ISNA(VLOOKUP(SalCommune[[#This Row],[Statut]],'Grille communale'!$B$3:$B$5,1,FALSE))=TRUE,"Veuillez choisir le statut parmis la liste déroulante",""))</f>
        <v/>
      </c>
      <c r="B418" s="8"/>
      <c r="C418" s="8"/>
      <c r="D418" s="8"/>
      <c r="E418" s="21"/>
      <c r="F418" s="8"/>
      <c r="G418" s="8"/>
      <c r="H418" s="9"/>
      <c r="I418" s="9"/>
      <c r="J418" s="9"/>
      <c r="K418" s="10"/>
      <c r="L418" s="10"/>
      <c r="M418" s="9"/>
      <c r="N418" s="9"/>
      <c r="O418" s="9"/>
      <c r="P418"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18" s="9"/>
      <c r="R418" s="9"/>
      <c r="S418" s="38"/>
      <c r="T418" s="38"/>
      <c r="U418" s="38"/>
      <c r="V418" s="38"/>
      <c r="W418" s="38"/>
      <c r="X418" s="67" t="str">
        <f>IF(COUNTA(SalCommune[[#This Row],[N°]:[heures annuelles
selon contrat(s)]])=0,"",SalCommune[[#This Row],[Brut]]+SalCommune[[#This Row],[Autres Primes]]+SalCommune[[#This Row],[Part patronale]]-ABS(SalCommune[[#This Row],[Remboursement Mutualité]])-ABS(SalCommune[[#This Row],[Remboursement
Autres]]))</f>
        <v/>
      </c>
      <c r="Y418" s="38"/>
      <c r="Z418"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18" s="8"/>
      <c r="AB418" s="64"/>
      <c r="AC418"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18"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18" s="505"/>
      <c r="AF418" s="187"/>
      <c r="AG418" s="200" t="str">
        <f>IF(COUNTA(SalCommune[[#This Row],[N°]:[heures annuelles
selon contrat(s)]])=0,"",REVEX!$E$9)</f>
        <v/>
      </c>
      <c r="AH418" s="73" t="str">
        <f>IF(SalCommune[[#This Row],[Allocations fonctions]]="","",IF(ISNA(VLOOKUP(SalCommune[[#This Row],[Allocations fonctions]],DROPDOWN[Dropdown82],1,FALSE))=TRUE,"&lt;-- Veuillez choisir l'allocation parmis la liste déroulante.",""))</f>
        <v/>
      </c>
    </row>
    <row r="419" spans="1:34" x14ac:dyDescent="0.25">
      <c r="A419" s="73" t="str">
        <f>IF(SalCommune[[#This Row],[Statut]]="","",IF(ISNA(VLOOKUP(SalCommune[[#This Row],[Statut]],'Grille communale'!$B$3:$B$5,1,FALSE))=TRUE,"Veuillez choisir le statut parmis la liste déroulante",""))</f>
        <v/>
      </c>
      <c r="B419" s="8"/>
      <c r="C419" s="8"/>
      <c r="D419" s="8"/>
      <c r="E419" s="21"/>
      <c r="F419" s="8"/>
      <c r="G419" s="8"/>
      <c r="H419" s="9"/>
      <c r="I419" s="9"/>
      <c r="J419" s="9"/>
      <c r="K419" s="10"/>
      <c r="L419" s="10"/>
      <c r="M419" s="9"/>
      <c r="N419" s="9"/>
      <c r="O419" s="9"/>
      <c r="P419"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19" s="9"/>
      <c r="R419" s="9"/>
      <c r="S419" s="38"/>
      <c r="T419" s="38"/>
      <c r="U419" s="38"/>
      <c r="V419" s="38"/>
      <c r="W419" s="38"/>
      <c r="X419" s="67" t="str">
        <f>IF(COUNTA(SalCommune[[#This Row],[N°]:[heures annuelles
selon contrat(s)]])=0,"",SalCommune[[#This Row],[Brut]]+SalCommune[[#This Row],[Autres Primes]]+SalCommune[[#This Row],[Part patronale]]-ABS(SalCommune[[#This Row],[Remboursement Mutualité]])-ABS(SalCommune[[#This Row],[Remboursement
Autres]]))</f>
        <v/>
      </c>
      <c r="Y419" s="38"/>
      <c r="Z419"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19" s="8"/>
      <c r="AB419" s="64"/>
      <c r="AC419"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19"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19" s="505"/>
      <c r="AF419" s="187"/>
      <c r="AG419" s="200" t="str">
        <f>IF(COUNTA(SalCommune[[#This Row],[N°]:[heures annuelles
selon contrat(s)]])=0,"",REVEX!$E$9)</f>
        <v/>
      </c>
      <c r="AH419" s="73" t="str">
        <f>IF(SalCommune[[#This Row],[Allocations fonctions]]="","",IF(ISNA(VLOOKUP(SalCommune[[#This Row],[Allocations fonctions]],DROPDOWN[Dropdown82],1,FALSE))=TRUE,"&lt;-- Veuillez choisir l'allocation parmis la liste déroulante.",""))</f>
        <v/>
      </c>
    </row>
    <row r="420" spans="1:34" x14ac:dyDescent="0.25">
      <c r="A420" s="73" t="str">
        <f>IF(SalCommune[[#This Row],[Statut]]="","",IF(ISNA(VLOOKUP(SalCommune[[#This Row],[Statut]],'Grille communale'!$B$3:$B$5,1,FALSE))=TRUE,"Veuillez choisir le statut parmis la liste déroulante",""))</f>
        <v/>
      </c>
      <c r="B420" s="8"/>
      <c r="C420" s="8"/>
      <c r="D420" s="8"/>
      <c r="E420" s="21"/>
      <c r="F420" s="8"/>
      <c r="G420" s="8"/>
      <c r="H420" s="9"/>
      <c r="I420" s="9"/>
      <c r="J420" s="9"/>
      <c r="K420" s="10"/>
      <c r="L420" s="10"/>
      <c r="M420" s="9"/>
      <c r="N420" s="9"/>
      <c r="O420" s="9"/>
      <c r="P420"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20" s="9"/>
      <c r="R420" s="9"/>
      <c r="S420" s="38"/>
      <c r="T420" s="38"/>
      <c r="U420" s="38"/>
      <c r="V420" s="38"/>
      <c r="W420" s="38"/>
      <c r="X420" s="67" t="str">
        <f>IF(COUNTA(SalCommune[[#This Row],[N°]:[heures annuelles
selon contrat(s)]])=0,"",SalCommune[[#This Row],[Brut]]+SalCommune[[#This Row],[Autres Primes]]+SalCommune[[#This Row],[Part patronale]]-ABS(SalCommune[[#This Row],[Remboursement Mutualité]])-ABS(SalCommune[[#This Row],[Remboursement
Autres]]))</f>
        <v/>
      </c>
      <c r="Y420" s="38"/>
      <c r="Z420"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20" s="8"/>
      <c r="AB420" s="64"/>
      <c r="AC420"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20"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20" s="505"/>
      <c r="AF420" s="187"/>
      <c r="AG420" s="200" t="str">
        <f>IF(COUNTA(SalCommune[[#This Row],[N°]:[heures annuelles
selon contrat(s)]])=0,"",REVEX!$E$9)</f>
        <v/>
      </c>
      <c r="AH420" s="73" t="str">
        <f>IF(SalCommune[[#This Row],[Allocations fonctions]]="","",IF(ISNA(VLOOKUP(SalCommune[[#This Row],[Allocations fonctions]],DROPDOWN[Dropdown82],1,FALSE))=TRUE,"&lt;-- Veuillez choisir l'allocation parmis la liste déroulante.",""))</f>
        <v/>
      </c>
    </row>
    <row r="421" spans="1:34" x14ac:dyDescent="0.25">
      <c r="A421" s="73" t="str">
        <f>IF(SalCommune[[#This Row],[Statut]]="","",IF(ISNA(VLOOKUP(SalCommune[[#This Row],[Statut]],'Grille communale'!$B$3:$B$5,1,FALSE))=TRUE,"Veuillez choisir le statut parmis la liste déroulante",""))</f>
        <v/>
      </c>
      <c r="B421" s="8"/>
      <c r="C421" s="8"/>
      <c r="D421" s="8"/>
      <c r="E421" s="21"/>
      <c r="F421" s="8"/>
      <c r="G421" s="8"/>
      <c r="H421" s="9"/>
      <c r="I421" s="9"/>
      <c r="J421" s="9"/>
      <c r="K421" s="10"/>
      <c r="L421" s="10"/>
      <c r="M421" s="9"/>
      <c r="N421" s="9"/>
      <c r="O421" s="9"/>
      <c r="P421"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21" s="9"/>
      <c r="R421" s="9"/>
      <c r="S421" s="38"/>
      <c r="T421" s="38"/>
      <c r="U421" s="38"/>
      <c r="V421" s="38"/>
      <c r="W421" s="38"/>
      <c r="X421" s="67" t="str">
        <f>IF(COUNTA(SalCommune[[#This Row],[N°]:[heures annuelles
selon contrat(s)]])=0,"",SalCommune[[#This Row],[Brut]]+SalCommune[[#This Row],[Autres Primes]]+SalCommune[[#This Row],[Part patronale]]-ABS(SalCommune[[#This Row],[Remboursement Mutualité]])-ABS(SalCommune[[#This Row],[Remboursement
Autres]]))</f>
        <v/>
      </c>
      <c r="Y421" s="38"/>
      <c r="Z421"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21" s="8"/>
      <c r="AB421" s="64"/>
      <c r="AC421"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21"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21" s="505"/>
      <c r="AF421" s="187"/>
      <c r="AG421" s="200" t="str">
        <f>IF(COUNTA(SalCommune[[#This Row],[N°]:[heures annuelles
selon contrat(s)]])=0,"",REVEX!$E$9)</f>
        <v/>
      </c>
      <c r="AH421" s="73" t="str">
        <f>IF(SalCommune[[#This Row],[Allocations fonctions]]="","",IF(ISNA(VLOOKUP(SalCommune[[#This Row],[Allocations fonctions]],DROPDOWN[Dropdown82],1,FALSE))=TRUE,"&lt;-- Veuillez choisir l'allocation parmis la liste déroulante.",""))</f>
        <v/>
      </c>
    </row>
    <row r="422" spans="1:34" x14ac:dyDescent="0.25">
      <c r="A422" s="73" t="str">
        <f>IF(SalCommune[[#This Row],[Statut]]="","",IF(ISNA(VLOOKUP(SalCommune[[#This Row],[Statut]],'Grille communale'!$B$3:$B$5,1,FALSE))=TRUE,"Veuillez choisir le statut parmis la liste déroulante",""))</f>
        <v/>
      </c>
      <c r="B422" s="8"/>
      <c r="C422" s="8"/>
      <c r="D422" s="8"/>
      <c r="E422" s="21"/>
      <c r="F422" s="8"/>
      <c r="G422" s="8"/>
      <c r="H422" s="9"/>
      <c r="I422" s="9"/>
      <c r="J422" s="9"/>
      <c r="K422" s="10"/>
      <c r="L422" s="10"/>
      <c r="M422" s="9"/>
      <c r="N422" s="9"/>
      <c r="O422" s="9"/>
      <c r="P422"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22" s="9"/>
      <c r="R422" s="9"/>
      <c r="S422" s="38"/>
      <c r="T422" s="38"/>
      <c r="U422" s="38"/>
      <c r="V422" s="38"/>
      <c r="W422" s="38"/>
      <c r="X422" s="67" t="str">
        <f>IF(COUNTA(SalCommune[[#This Row],[N°]:[heures annuelles
selon contrat(s)]])=0,"",SalCommune[[#This Row],[Brut]]+SalCommune[[#This Row],[Autres Primes]]+SalCommune[[#This Row],[Part patronale]]-ABS(SalCommune[[#This Row],[Remboursement Mutualité]])-ABS(SalCommune[[#This Row],[Remboursement
Autres]]))</f>
        <v/>
      </c>
      <c r="Y422" s="38"/>
      <c r="Z422"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22" s="8"/>
      <c r="AB422" s="64"/>
      <c r="AC422"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22"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22" s="505"/>
      <c r="AF422" s="187"/>
      <c r="AG422" s="200" t="str">
        <f>IF(COUNTA(SalCommune[[#This Row],[N°]:[heures annuelles
selon contrat(s)]])=0,"",REVEX!$E$9)</f>
        <v/>
      </c>
      <c r="AH422" s="73" t="str">
        <f>IF(SalCommune[[#This Row],[Allocations fonctions]]="","",IF(ISNA(VLOOKUP(SalCommune[[#This Row],[Allocations fonctions]],DROPDOWN[Dropdown82],1,FALSE))=TRUE,"&lt;-- Veuillez choisir l'allocation parmis la liste déroulante.",""))</f>
        <v/>
      </c>
    </row>
    <row r="423" spans="1:34" x14ac:dyDescent="0.25">
      <c r="A423" s="73" t="str">
        <f>IF(SalCommune[[#This Row],[Statut]]="","",IF(ISNA(VLOOKUP(SalCommune[[#This Row],[Statut]],'Grille communale'!$B$3:$B$5,1,FALSE))=TRUE,"Veuillez choisir le statut parmis la liste déroulante",""))</f>
        <v/>
      </c>
      <c r="B423" s="8"/>
      <c r="C423" s="8"/>
      <c r="D423" s="8"/>
      <c r="E423" s="21"/>
      <c r="F423" s="8"/>
      <c r="G423" s="8"/>
      <c r="H423" s="9"/>
      <c r="I423" s="9"/>
      <c r="J423" s="9"/>
      <c r="K423" s="10"/>
      <c r="L423" s="10"/>
      <c r="M423" s="9"/>
      <c r="N423" s="9"/>
      <c r="O423" s="9"/>
      <c r="P423"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23" s="9"/>
      <c r="R423" s="9"/>
      <c r="S423" s="38"/>
      <c r="T423" s="38"/>
      <c r="U423" s="38"/>
      <c r="V423" s="38"/>
      <c r="W423" s="38"/>
      <c r="X423" s="67" t="str">
        <f>IF(COUNTA(SalCommune[[#This Row],[N°]:[heures annuelles
selon contrat(s)]])=0,"",SalCommune[[#This Row],[Brut]]+SalCommune[[#This Row],[Autres Primes]]+SalCommune[[#This Row],[Part patronale]]-ABS(SalCommune[[#This Row],[Remboursement Mutualité]])-ABS(SalCommune[[#This Row],[Remboursement
Autres]]))</f>
        <v/>
      </c>
      <c r="Y423" s="38"/>
      <c r="Z423"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23" s="8"/>
      <c r="AB423" s="64"/>
      <c r="AC423"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23"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23" s="505"/>
      <c r="AF423" s="187"/>
      <c r="AG423" s="200" t="str">
        <f>IF(COUNTA(SalCommune[[#This Row],[N°]:[heures annuelles
selon contrat(s)]])=0,"",REVEX!$E$9)</f>
        <v/>
      </c>
      <c r="AH423" s="73" t="str">
        <f>IF(SalCommune[[#This Row],[Allocations fonctions]]="","",IF(ISNA(VLOOKUP(SalCommune[[#This Row],[Allocations fonctions]],DROPDOWN[Dropdown82],1,FALSE))=TRUE,"&lt;-- Veuillez choisir l'allocation parmis la liste déroulante.",""))</f>
        <v/>
      </c>
    </row>
    <row r="424" spans="1:34" x14ac:dyDescent="0.25">
      <c r="A424" s="73" t="str">
        <f>IF(SalCommune[[#This Row],[Statut]]="","",IF(ISNA(VLOOKUP(SalCommune[[#This Row],[Statut]],'Grille communale'!$B$3:$B$5,1,FALSE))=TRUE,"Veuillez choisir le statut parmis la liste déroulante",""))</f>
        <v/>
      </c>
      <c r="B424" s="8"/>
      <c r="C424" s="8"/>
      <c r="D424" s="8"/>
      <c r="E424" s="21"/>
      <c r="F424" s="8"/>
      <c r="G424" s="8"/>
      <c r="H424" s="9"/>
      <c r="I424" s="9"/>
      <c r="J424" s="9"/>
      <c r="K424" s="10"/>
      <c r="L424" s="10"/>
      <c r="M424" s="9"/>
      <c r="N424" s="9"/>
      <c r="O424" s="9"/>
      <c r="P424"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24" s="9"/>
      <c r="R424" s="9"/>
      <c r="S424" s="38"/>
      <c r="T424" s="38"/>
      <c r="U424" s="38"/>
      <c r="V424" s="38"/>
      <c r="W424" s="38"/>
      <c r="X424" s="67" t="str">
        <f>IF(COUNTA(SalCommune[[#This Row],[N°]:[heures annuelles
selon contrat(s)]])=0,"",SalCommune[[#This Row],[Brut]]+SalCommune[[#This Row],[Autres Primes]]+SalCommune[[#This Row],[Part patronale]]-ABS(SalCommune[[#This Row],[Remboursement Mutualité]])-ABS(SalCommune[[#This Row],[Remboursement
Autres]]))</f>
        <v/>
      </c>
      <c r="Y424" s="38"/>
      <c r="Z424"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24" s="8"/>
      <c r="AB424" s="64"/>
      <c r="AC424"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24"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24" s="505"/>
      <c r="AF424" s="187"/>
      <c r="AG424" s="200" t="str">
        <f>IF(COUNTA(SalCommune[[#This Row],[N°]:[heures annuelles
selon contrat(s)]])=0,"",REVEX!$E$9)</f>
        <v/>
      </c>
      <c r="AH424" s="73" t="str">
        <f>IF(SalCommune[[#This Row],[Allocations fonctions]]="","",IF(ISNA(VLOOKUP(SalCommune[[#This Row],[Allocations fonctions]],DROPDOWN[Dropdown82],1,FALSE))=TRUE,"&lt;-- Veuillez choisir l'allocation parmis la liste déroulante.",""))</f>
        <v/>
      </c>
    </row>
    <row r="425" spans="1:34" x14ac:dyDescent="0.25">
      <c r="A425" s="73" t="str">
        <f>IF(SalCommune[[#This Row],[Statut]]="","",IF(ISNA(VLOOKUP(SalCommune[[#This Row],[Statut]],'Grille communale'!$B$3:$B$5,1,FALSE))=TRUE,"Veuillez choisir le statut parmis la liste déroulante",""))</f>
        <v/>
      </c>
      <c r="B425" s="8"/>
      <c r="C425" s="8"/>
      <c r="D425" s="8"/>
      <c r="E425" s="21"/>
      <c r="F425" s="8"/>
      <c r="G425" s="8"/>
      <c r="H425" s="9"/>
      <c r="I425" s="9"/>
      <c r="J425" s="9"/>
      <c r="K425" s="10"/>
      <c r="L425" s="10"/>
      <c r="M425" s="9"/>
      <c r="N425" s="9"/>
      <c r="O425" s="9"/>
      <c r="P425"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25" s="9"/>
      <c r="R425" s="9"/>
      <c r="S425" s="38"/>
      <c r="T425" s="38"/>
      <c r="U425" s="38"/>
      <c r="V425" s="38"/>
      <c r="W425" s="38"/>
      <c r="X425" s="67" t="str">
        <f>IF(COUNTA(SalCommune[[#This Row],[N°]:[heures annuelles
selon contrat(s)]])=0,"",SalCommune[[#This Row],[Brut]]+SalCommune[[#This Row],[Autres Primes]]+SalCommune[[#This Row],[Part patronale]]-ABS(SalCommune[[#This Row],[Remboursement Mutualité]])-ABS(SalCommune[[#This Row],[Remboursement
Autres]]))</f>
        <v/>
      </c>
      <c r="Y425" s="38"/>
      <c r="Z425"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25" s="8"/>
      <c r="AB425" s="64"/>
      <c r="AC425"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25"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25" s="505"/>
      <c r="AF425" s="187"/>
      <c r="AG425" s="200" t="str">
        <f>IF(COUNTA(SalCommune[[#This Row],[N°]:[heures annuelles
selon contrat(s)]])=0,"",REVEX!$E$9)</f>
        <v/>
      </c>
      <c r="AH425" s="73" t="str">
        <f>IF(SalCommune[[#This Row],[Allocations fonctions]]="","",IF(ISNA(VLOOKUP(SalCommune[[#This Row],[Allocations fonctions]],DROPDOWN[Dropdown82],1,FALSE))=TRUE,"&lt;-- Veuillez choisir l'allocation parmis la liste déroulante.",""))</f>
        <v/>
      </c>
    </row>
    <row r="426" spans="1:34" x14ac:dyDescent="0.25">
      <c r="A426" s="73" t="str">
        <f>IF(SalCommune[[#This Row],[Statut]]="","",IF(ISNA(VLOOKUP(SalCommune[[#This Row],[Statut]],'Grille communale'!$B$3:$B$5,1,FALSE))=TRUE,"Veuillez choisir le statut parmis la liste déroulante",""))</f>
        <v/>
      </c>
      <c r="B426" s="8"/>
      <c r="C426" s="8"/>
      <c r="D426" s="8"/>
      <c r="E426" s="21"/>
      <c r="F426" s="8"/>
      <c r="G426" s="8"/>
      <c r="H426" s="9"/>
      <c r="I426" s="9"/>
      <c r="J426" s="9"/>
      <c r="K426" s="10"/>
      <c r="L426" s="10"/>
      <c r="M426" s="9"/>
      <c r="N426" s="9"/>
      <c r="O426" s="9"/>
      <c r="P426"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26" s="9"/>
      <c r="R426" s="9"/>
      <c r="S426" s="38"/>
      <c r="T426" s="38"/>
      <c r="U426" s="38"/>
      <c r="V426" s="38"/>
      <c r="W426" s="38"/>
      <c r="X426" s="67" t="str">
        <f>IF(COUNTA(SalCommune[[#This Row],[N°]:[heures annuelles
selon contrat(s)]])=0,"",SalCommune[[#This Row],[Brut]]+SalCommune[[#This Row],[Autres Primes]]+SalCommune[[#This Row],[Part patronale]]-ABS(SalCommune[[#This Row],[Remboursement Mutualité]])-ABS(SalCommune[[#This Row],[Remboursement
Autres]]))</f>
        <v/>
      </c>
      <c r="Y426" s="38"/>
      <c r="Z426"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26" s="8"/>
      <c r="AB426" s="64"/>
      <c r="AC426"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26"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26" s="505"/>
      <c r="AF426" s="187"/>
      <c r="AG426" s="200" t="str">
        <f>IF(COUNTA(SalCommune[[#This Row],[N°]:[heures annuelles
selon contrat(s)]])=0,"",REVEX!$E$9)</f>
        <v/>
      </c>
      <c r="AH426" s="73" t="str">
        <f>IF(SalCommune[[#This Row],[Allocations fonctions]]="","",IF(ISNA(VLOOKUP(SalCommune[[#This Row],[Allocations fonctions]],DROPDOWN[Dropdown82],1,FALSE))=TRUE,"&lt;-- Veuillez choisir l'allocation parmis la liste déroulante.",""))</f>
        <v/>
      </c>
    </row>
    <row r="427" spans="1:34" x14ac:dyDescent="0.25">
      <c r="A427" s="73" t="str">
        <f>IF(SalCommune[[#This Row],[Statut]]="","",IF(ISNA(VLOOKUP(SalCommune[[#This Row],[Statut]],'Grille communale'!$B$3:$B$5,1,FALSE))=TRUE,"Veuillez choisir le statut parmis la liste déroulante",""))</f>
        <v/>
      </c>
      <c r="B427" s="8"/>
      <c r="C427" s="8"/>
      <c r="D427" s="8"/>
      <c r="E427" s="21"/>
      <c r="F427" s="8"/>
      <c r="G427" s="8"/>
      <c r="H427" s="9"/>
      <c r="I427" s="9"/>
      <c r="J427" s="9"/>
      <c r="K427" s="10"/>
      <c r="L427" s="10"/>
      <c r="M427" s="9"/>
      <c r="N427" s="9"/>
      <c r="O427" s="9"/>
      <c r="P427"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27" s="9"/>
      <c r="R427" s="9"/>
      <c r="S427" s="38"/>
      <c r="T427" s="38"/>
      <c r="U427" s="38"/>
      <c r="V427" s="38"/>
      <c r="W427" s="38"/>
      <c r="X427" s="67" t="str">
        <f>IF(COUNTA(SalCommune[[#This Row],[N°]:[heures annuelles
selon contrat(s)]])=0,"",SalCommune[[#This Row],[Brut]]+SalCommune[[#This Row],[Autres Primes]]+SalCommune[[#This Row],[Part patronale]]-ABS(SalCommune[[#This Row],[Remboursement Mutualité]])-ABS(SalCommune[[#This Row],[Remboursement
Autres]]))</f>
        <v/>
      </c>
      <c r="Y427" s="38"/>
      <c r="Z427"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27" s="8"/>
      <c r="AB427" s="64"/>
      <c r="AC427"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27"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27" s="505"/>
      <c r="AF427" s="187"/>
      <c r="AG427" s="200" t="str">
        <f>IF(COUNTA(SalCommune[[#This Row],[N°]:[heures annuelles
selon contrat(s)]])=0,"",REVEX!$E$9)</f>
        <v/>
      </c>
      <c r="AH427" s="73" t="str">
        <f>IF(SalCommune[[#This Row],[Allocations fonctions]]="","",IF(ISNA(VLOOKUP(SalCommune[[#This Row],[Allocations fonctions]],DROPDOWN[Dropdown82],1,FALSE))=TRUE,"&lt;-- Veuillez choisir l'allocation parmis la liste déroulante.",""))</f>
        <v/>
      </c>
    </row>
    <row r="428" spans="1:34" x14ac:dyDescent="0.25">
      <c r="A428" s="73" t="str">
        <f>IF(SalCommune[[#This Row],[Statut]]="","",IF(ISNA(VLOOKUP(SalCommune[[#This Row],[Statut]],'Grille communale'!$B$3:$B$5,1,FALSE))=TRUE,"Veuillez choisir le statut parmis la liste déroulante",""))</f>
        <v/>
      </c>
      <c r="B428" s="8"/>
      <c r="C428" s="8"/>
      <c r="D428" s="8"/>
      <c r="E428" s="21"/>
      <c r="F428" s="8"/>
      <c r="G428" s="8"/>
      <c r="H428" s="9"/>
      <c r="I428" s="9"/>
      <c r="J428" s="9"/>
      <c r="K428" s="10"/>
      <c r="L428" s="10"/>
      <c r="M428" s="9"/>
      <c r="N428" s="9"/>
      <c r="O428" s="9"/>
      <c r="P428"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28" s="9"/>
      <c r="R428" s="9"/>
      <c r="S428" s="38"/>
      <c r="T428" s="38"/>
      <c r="U428" s="38"/>
      <c r="V428" s="38"/>
      <c r="W428" s="38"/>
      <c r="X428" s="67" t="str">
        <f>IF(COUNTA(SalCommune[[#This Row],[N°]:[heures annuelles
selon contrat(s)]])=0,"",SalCommune[[#This Row],[Brut]]+SalCommune[[#This Row],[Autres Primes]]+SalCommune[[#This Row],[Part patronale]]-ABS(SalCommune[[#This Row],[Remboursement Mutualité]])-ABS(SalCommune[[#This Row],[Remboursement
Autres]]))</f>
        <v/>
      </c>
      <c r="Y428" s="38"/>
      <c r="Z428"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28" s="8"/>
      <c r="AB428" s="64"/>
      <c r="AC428"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28"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28" s="505"/>
      <c r="AF428" s="187"/>
      <c r="AG428" s="200" t="str">
        <f>IF(COUNTA(SalCommune[[#This Row],[N°]:[heures annuelles
selon contrat(s)]])=0,"",REVEX!$E$9)</f>
        <v/>
      </c>
      <c r="AH428" s="73" t="str">
        <f>IF(SalCommune[[#This Row],[Allocations fonctions]]="","",IF(ISNA(VLOOKUP(SalCommune[[#This Row],[Allocations fonctions]],DROPDOWN[Dropdown82],1,FALSE))=TRUE,"&lt;-- Veuillez choisir l'allocation parmis la liste déroulante.",""))</f>
        <v/>
      </c>
    </row>
    <row r="429" spans="1:34" x14ac:dyDescent="0.25">
      <c r="A429" s="73" t="str">
        <f>IF(SalCommune[[#This Row],[Statut]]="","",IF(ISNA(VLOOKUP(SalCommune[[#This Row],[Statut]],'Grille communale'!$B$3:$B$5,1,FALSE))=TRUE,"Veuillez choisir le statut parmis la liste déroulante",""))</f>
        <v/>
      </c>
      <c r="B429" s="8"/>
      <c r="C429" s="8"/>
      <c r="D429" s="8"/>
      <c r="E429" s="21"/>
      <c r="F429" s="8"/>
      <c r="G429" s="8"/>
      <c r="H429" s="9"/>
      <c r="I429" s="9"/>
      <c r="J429" s="9"/>
      <c r="K429" s="10"/>
      <c r="L429" s="10"/>
      <c r="M429" s="9"/>
      <c r="N429" s="9"/>
      <c r="O429" s="9"/>
      <c r="P429"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29" s="9"/>
      <c r="R429" s="9"/>
      <c r="S429" s="38"/>
      <c r="T429" s="38"/>
      <c r="U429" s="38"/>
      <c r="V429" s="38"/>
      <c r="W429" s="38"/>
      <c r="X429" s="67" t="str">
        <f>IF(COUNTA(SalCommune[[#This Row],[N°]:[heures annuelles
selon contrat(s)]])=0,"",SalCommune[[#This Row],[Brut]]+SalCommune[[#This Row],[Autres Primes]]+SalCommune[[#This Row],[Part patronale]]-ABS(SalCommune[[#This Row],[Remboursement Mutualité]])-ABS(SalCommune[[#This Row],[Remboursement
Autres]]))</f>
        <v/>
      </c>
      <c r="Y429" s="38"/>
      <c r="Z429"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29" s="8"/>
      <c r="AB429" s="64"/>
      <c r="AC429"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29"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29" s="505"/>
      <c r="AF429" s="187"/>
      <c r="AG429" s="200" t="str">
        <f>IF(COUNTA(SalCommune[[#This Row],[N°]:[heures annuelles
selon contrat(s)]])=0,"",REVEX!$E$9)</f>
        <v/>
      </c>
      <c r="AH429" s="73" t="str">
        <f>IF(SalCommune[[#This Row],[Allocations fonctions]]="","",IF(ISNA(VLOOKUP(SalCommune[[#This Row],[Allocations fonctions]],DROPDOWN[Dropdown82],1,FALSE))=TRUE,"&lt;-- Veuillez choisir l'allocation parmis la liste déroulante.",""))</f>
        <v/>
      </c>
    </row>
    <row r="430" spans="1:34" x14ac:dyDescent="0.25">
      <c r="A430" s="73" t="str">
        <f>IF(SalCommune[[#This Row],[Statut]]="","",IF(ISNA(VLOOKUP(SalCommune[[#This Row],[Statut]],'Grille communale'!$B$3:$B$5,1,FALSE))=TRUE,"Veuillez choisir le statut parmis la liste déroulante",""))</f>
        <v/>
      </c>
      <c r="B430" s="8"/>
      <c r="C430" s="8"/>
      <c r="D430" s="8"/>
      <c r="E430" s="21"/>
      <c r="F430" s="8"/>
      <c r="G430" s="8"/>
      <c r="H430" s="9"/>
      <c r="I430" s="9"/>
      <c r="J430" s="9"/>
      <c r="K430" s="10"/>
      <c r="L430" s="10"/>
      <c r="M430" s="9"/>
      <c r="N430" s="9"/>
      <c r="O430" s="9"/>
      <c r="P430"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30" s="9"/>
      <c r="R430" s="9"/>
      <c r="S430" s="38"/>
      <c r="T430" s="38"/>
      <c r="U430" s="38"/>
      <c r="V430" s="38"/>
      <c r="W430" s="38"/>
      <c r="X430" s="67" t="str">
        <f>IF(COUNTA(SalCommune[[#This Row],[N°]:[heures annuelles
selon contrat(s)]])=0,"",SalCommune[[#This Row],[Brut]]+SalCommune[[#This Row],[Autres Primes]]+SalCommune[[#This Row],[Part patronale]]-ABS(SalCommune[[#This Row],[Remboursement Mutualité]])-ABS(SalCommune[[#This Row],[Remboursement
Autres]]))</f>
        <v/>
      </c>
      <c r="Y430" s="38"/>
      <c r="Z430"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30" s="8"/>
      <c r="AB430" s="64"/>
      <c r="AC430"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30"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30" s="505"/>
      <c r="AF430" s="187"/>
      <c r="AG430" s="200" t="str">
        <f>IF(COUNTA(SalCommune[[#This Row],[N°]:[heures annuelles
selon contrat(s)]])=0,"",REVEX!$E$9)</f>
        <v/>
      </c>
      <c r="AH430" s="73" t="str">
        <f>IF(SalCommune[[#This Row],[Allocations fonctions]]="","",IF(ISNA(VLOOKUP(SalCommune[[#This Row],[Allocations fonctions]],DROPDOWN[Dropdown82],1,FALSE))=TRUE,"&lt;-- Veuillez choisir l'allocation parmis la liste déroulante.",""))</f>
        <v/>
      </c>
    </row>
    <row r="431" spans="1:34" x14ac:dyDescent="0.25">
      <c r="A431" s="73" t="str">
        <f>IF(SalCommune[[#This Row],[Statut]]="","",IF(ISNA(VLOOKUP(SalCommune[[#This Row],[Statut]],'Grille communale'!$B$3:$B$5,1,FALSE))=TRUE,"Veuillez choisir le statut parmis la liste déroulante",""))</f>
        <v/>
      </c>
      <c r="B431" s="8"/>
      <c r="C431" s="8"/>
      <c r="D431" s="8"/>
      <c r="E431" s="21"/>
      <c r="F431" s="8"/>
      <c r="G431" s="8"/>
      <c r="H431" s="9"/>
      <c r="I431" s="9"/>
      <c r="J431" s="9"/>
      <c r="K431" s="10"/>
      <c r="L431" s="10"/>
      <c r="M431" s="9"/>
      <c r="N431" s="9"/>
      <c r="O431" s="9"/>
      <c r="P431"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31" s="9"/>
      <c r="R431" s="9"/>
      <c r="S431" s="38"/>
      <c r="T431" s="38"/>
      <c r="U431" s="38"/>
      <c r="V431" s="38"/>
      <c r="W431" s="38"/>
      <c r="X431" s="67" t="str">
        <f>IF(COUNTA(SalCommune[[#This Row],[N°]:[heures annuelles
selon contrat(s)]])=0,"",SalCommune[[#This Row],[Brut]]+SalCommune[[#This Row],[Autres Primes]]+SalCommune[[#This Row],[Part patronale]]-ABS(SalCommune[[#This Row],[Remboursement Mutualité]])-ABS(SalCommune[[#This Row],[Remboursement
Autres]]))</f>
        <v/>
      </c>
      <c r="Y431" s="38"/>
      <c r="Z431"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31" s="8"/>
      <c r="AB431" s="64"/>
      <c r="AC431"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31"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31" s="505"/>
      <c r="AF431" s="187"/>
      <c r="AG431" s="200" t="str">
        <f>IF(COUNTA(SalCommune[[#This Row],[N°]:[heures annuelles
selon contrat(s)]])=0,"",REVEX!$E$9)</f>
        <v/>
      </c>
      <c r="AH431" s="73" t="str">
        <f>IF(SalCommune[[#This Row],[Allocations fonctions]]="","",IF(ISNA(VLOOKUP(SalCommune[[#This Row],[Allocations fonctions]],DROPDOWN[Dropdown82],1,FALSE))=TRUE,"&lt;-- Veuillez choisir l'allocation parmis la liste déroulante.",""))</f>
        <v/>
      </c>
    </row>
    <row r="432" spans="1:34" x14ac:dyDescent="0.25">
      <c r="A432" s="73" t="str">
        <f>IF(SalCommune[[#This Row],[Statut]]="","",IF(ISNA(VLOOKUP(SalCommune[[#This Row],[Statut]],'Grille communale'!$B$3:$B$5,1,FALSE))=TRUE,"Veuillez choisir le statut parmis la liste déroulante",""))</f>
        <v/>
      </c>
      <c r="B432" s="8"/>
      <c r="C432" s="8"/>
      <c r="D432" s="8"/>
      <c r="E432" s="21"/>
      <c r="F432" s="8"/>
      <c r="G432" s="8"/>
      <c r="H432" s="9"/>
      <c r="I432" s="9"/>
      <c r="J432" s="9"/>
      <c r="K432" s="10"/>
      <c r="L432" s="10"/>
      <c r="M432" s="9"/>
      <c r="N432" s="9"/>
      <c r="O432" s="9"/>
      <c r="P432"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32" s="9"/>
      <c r="R432" s="9"/>
      <c r="S432" s="38"/>
      <c r="T432" s="38"/>
      <c r="U432" s="38"/>
      <c r="V432" s="38"/>
      <c r="W432" s="38"/>
      <c r="X432" s="67" t="str">
        <f>IF(COUNTA(SalCommune[[#This Row],[N°]:[heures annuelles
selon contrat(s)]])=0,"",SalCommune[[#This Row],[Brut]]+SalCommune[[#This Row],[Autres Primes]]+SalCommune[[#This Row],[Part patronale]]-ABS(SalCommune[[#This Row],[Remboursement Mutualité]])-ABS(SalCommune[[#This Row],[Remboursement
Autres]]))</f>
        <v/>
      </c>
      <c r="Y432" s="38"/>
      <c r="Z432"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32" s="8"/>
      <c r="AB432" s="64"/>
      <c r="AC432"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32"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32" s="505"/>
      <c r="AF432" s="187"/>
      <c r="AG432" s="200" t="str">
        <f>IF(COUNTA(SalCommune[[#This Row],[N°]:[heures annuelles
selon contrat(s)]])=0,"",REVEX!$E$9)</f>
        <v/>
      </c>
      <c r="AH432" s="73" t="str">
        <f>IF(SalCommune[[#This Row],[Allocations fonctions]]="","",IF(ISNA(VLOOKUP(SalCommune[[#This Row],[Allocations fonctions]],DROPDOWN[Dropdown82],1,FALSE))=TRUE,"&lt;-- Veuillez choisir l'allocation parmis la liste déroulante.",""))</f>
        <v/>
      </c>
    </row>
    <row r="433" spans="1:34" x14ac:dyDescent="0.25">
      <c r="A433" s="73" t="str">
        <f>IF(SalCommune[[#This Row],[Statut]]="","",IF(ISNA(VLOOKUP(SalCommune[[#This Row],[Statut]],'Grille communale'!$B$3:$B$5,1,FALSE))=TRUE,"Veuillez choisir le statut parmis la liste déroulante",""))</f>
        <v/>
      </c>
      <c r="B433" s="8"/>
      <c r="C433" s="8"/>
      <c r="D433" s="8"/>
      <c r="E433" s="21"/>
      <c r="F433" s="8"/>
      <c r="G433" s="8"/>
      <c r="H433" s="9"/>
      <c r="I433" s="9"/>
      <c r="J433" s="9"/>
      <c r="K433" s="10"/>
      <c r="L433" s="10"/>
      <c r="M433" s="9"/>
      <c r="N433" s="9"/>
      <c r="O433" s="9"/>
      <c r="P433"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33" s="9"/>
      <c r="R433" s="9"/>
      <c r="S433" s="38"/>
      <c r="T433" s="38"/>
      <c r="U433" s="38"/>
      <c r="V433" s="38"/>
      <c r="W433" s="38"/>
      <c r="X433" s="67" t="str">
        <f>IF(COUNTA(SalCommune[[#This Row],[N°]:[heures annuelles
selon contrat(s)]])=0,"",SalCommune[[#This Row],[Brut]]+SalCommune[[#This Row],[Autres Primes]]+SalCommune[[#This Row],[Part patronale]]-ABS(SalCommune[[#This Row],[Remboursement Mutualité]])-ABS(SalCommune[[#This Row],[Remboursement
Autres]]))</f>
        <v/>
      </c>
      <c r="Y433" s="38"/>
      <c r="Z433"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33" s="8"/>
      <c r="AB433" s="64"/>
      <c r="AC433"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33"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33" s="505"/>
      <c r="AF433" s="187"/>
      <c r="AG433" s="200" t="str">
        <f>IF(COUNTA(SalCommune[[#This Row],[N°]:[heures annuelles
selon contrat(s)]])=0,"",REVEX!$E$9)</f>
        <v/>
      </c>
      <c r="AH433" s="73" t="str">
        <f>IF(SalCommune[[#This Row],[Allocations fonctions]]="","",IF(ISNA(VLOOKUP(SalCommune[[#This Row],[Allocations fonctions]],DROPDOWN[Dropdown82],1,FALSE))=TRUE,"&lt;-- Veuillez choisir l'allocation parmis la liste déroulante.",""))</f>
        <v/>
      </c>
    </row>
    <row r="434" spans="1:34" x14ac:dyDescent="0.25">
      <c r="A434" s="73" t="str">
        <f>IF(SalCommune[[#This Row],[Statut]]="","",IF(ISNA(VLOOKUP(SalCommune[[#This Row],[Statut]],'Grille communale'!$B$3:$B$5,1,FALSE))=TRUE,"Veuillez choisir le statut parmis la liste déroulante",""))</f>
        <v/>
      </c>
      <c r="B434" s="8"/>
      <c r="C434" s="8"/>
      <c r="D434" s="8"/>
      <c r="E434" s="21"/>
      <c r="F434" s="8"/>
      <c r="G434" s="8"/>
      <c r="H434" s="9"/>
      <c r="I434" s="9"/>
      <c r="J434" s="9"/>
      <c r="K434" s="10"/>
      <c r="L434" s="10"/>
      <c r="M434" s="9"/>
      <c r="N434" s="9"/>
      <c r="O434" s="9"/>
      <c r="P434"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34" s="9"/>
      <c r="R434" s="9"/>
      <c r="S434" s="38"/>
      <c r="T434" s="38"/>
      <c r="U434" s="38"/>
      <c r="V434" s="38"/>
      <c r="W434" s="38"/>
      <c r="X434" s="67" t="str">
        <f>IF(COUNTA(SalCommune[[#This Row],[N°]:[heures annuelles
selon contrat(s)]])=0,"",SalCommune[[#This Row],[Brut]]+SalCommune[[#This Row],[Autres Primes]]+SalCommune[[#This Row],[Part patronale]]-ABS(SalCommune[[#This Row],[Remboursement Mutualité]])-ABS(SalCommune[[#This Row],[Remboursement
Autres]]))</f>
        <v/>
      </c>
      <c r="Y434" s="38"/>
      <c r="Z434"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34" s="8"/>
      <c r="AB434" s="64"/>
      <c r="AC434"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34"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34" s="505"/>
      <c r="AF434" s="187"/>
      <c r="AG434" s="200" t="str">
        <f>IF(COUNTA(SalCommune[[#This Row],[N°]:[heures annuelles
selon contrat(s)]])=0,"",REVEX!$E$9)</f>
        <v/>
      </c>
      <c r="AH434" s="73" t="str">
        <f>IF(SalCommune[[#This Row],[Allocations fonctions]]="","",IF(ISNA(VLOOKUP(SalCommune[[#This Row],[Allocations fonctions]],DROPDOWN[Dropdown82],1,FALSE))=TRUE,"&lt;-- Veuillez choisir l'allocation parmis la liste déroulante.",""))</f>
        <v/>
      </c>
    </row>
    <row r="435" spans="1:34" x14ac:dyDescent="0.25">
      <c r="A435" s="73" t="str">
        <f>IF(SalCommune[[#This Row],[Statut]]="","",IF(ISNA(VLOOKUP(SalCommune[[#This Row],[Statut]],'Grille communale'!$B$3:$B$5,1,FALSE))=TRUE,"Veuillez choisir le statut parmis la liste déroulante",""))</f>
        <v/>
      </c>
      <c r="B435" s="8"/>
      <c r="C435" s="8"/>
      <c r="D435" s="8"/>
      <c r="E435" s="21"/>
      <c r="F435" s="8"/>
      <c r="G435" s="8"/>
      <c r="H435" s="9"/>
      <c r="I435" s="9"/>
      <c r="J435" s="9"/>
      <c r="K435" s="10"/>
      <c r="L435" s="10"/>
      <c r="M435" s="9"/>
      <c r="N435" s="9"/>
      <c r="O435" s="9"/>
      <c r="P435"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35" s="9"/>
      <c r="R435" s="9"/>
      <c r="S435" s="38"/>
      <c r="T435" s="38"/>
      <c r="U435" s="38"/>
      <c r="V435" s="38"/>
      <c r="W435" s="38"/>
      <c r="X435" s="67" t="str">
        <f>IF(COUNTA(SalCommune[[#This Row],[N°]:[heures annuelles
selon contrat(s)]])=0,"",SalCommune[[#This Row],[Brut]]+SalCommune[[#This Row],[Autres Primes]]+SalCommune[[#This Row],[Part patronale]]-ABS(SalCommune[[#This Row],[Remboursement Mutualité]])-ABS(SalCommune[[#This Row],[Remboursement
Autres]]))</f>
        <v/>
      </c>
      <c r="Y435" s="38"/>
      <c r="Z435"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35" s="8"/>
      <c r="AB435" s="64"/>
      <c r="AC435"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35"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35" s="505"/>
      <c r="AF435" s="187"/>
      <c r="AG435" s="200" t="str">
        <f>IF(COUNTA(SalCommune[[#This Row],[N°]:[heures annuelles
selon contrat(s)]])=0,"",REVEX!$E$9)</f>
        <v/>
      </c>
      <c r="AH435" s="73" t="str">
        <f>IF(SalCommune[[#This Row],[Allocations fonctions]]="","",IF(ISNA(VLOOKUP(SalCommune[[#This Row],[Allocations fonctions]],DROPDOWN[Dropdown82],1,FALSE))=TRUE,"&lt;-- Veuillez choisir l'allocation parmis la liste déroulante.",""))</f>
        <v/>
      </c>
    </row>
    <row r="436" spans="1:34" x14ac:dyDescent="0.25">
      <c r="A436" s="73" t="str">
        <f>IF(SalCommune[[#This Row],[Statut]]="","",IF(ISNA(VLOOKUP(SalCommune[[#This Row],[Statut]],'Grille communale'!$B$3:$B$5,1,FALSE))=TRUE,"Veuillez choisir le statut parmis la liste déroulante",""))</f>
        <v/>
      </c>
      <c r="B436" s="8"/>
      <c r="C436" s="8"/>
      <c r="D436" s="8"/>
      <c r="E436" s="21"/>
      <c r="F436" s="8"/>
      <c r="G436" s="8"/>
      <c r="H436" s="9"/>
      <c r="I436" s="9"/>
      <c r="J436" s="9"/>
      <c r="K436" s="10"/>
      <c r="L436" s="10"/>
      <c r="M436" s="9"/>
      <c r="N436" s="9"/>
      <c r="O436" s="9"/>
      <c r="P436"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36" s="9"/>
      <c r="R436" s="9"/>
      <c r="S436" s="38"/>
      <c r="T436" s="38"/>
      <c r="U436" s="38"/>
      <c r="V436" s="38"/>
      <c r="W436" s="38"/>
      <c r="X436" s="67" t="str">
        <f>IF(COUNTA(SalCommune[[#This Row],[N°]:[heures annuelles
selon contrat(s)]])=0,"",SalCommune[[#This Row],[Brut]]+SalCommune[[#This Row],[Autres Primes]]+SalCommune[[#This Row],[Part patronale]]-ABS(SalCommune[[#This Row],[Remboursement Mutualité]])-ABS(SalCommune[[#This Row],[Remboursement
Autres]]))</f>
        <v/>
      </c>
      <c r="Y436" s="38"/>
      <c r="Z436"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36" s="8"/>
      <c r="AB436" s="64"/>
      <c r="AC436"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36"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36" s="505"/>
      <c r="AF436" s="187"/>
      <c r="AG436" s="200" t="str">
        <f>IF(COUNTA(SalCommune[[#This Row],[N°]:[heures annuelles
selon contrat(s)]])=0,"",REVEX!$E$9)</f>
        <v/>
      </c>
      <c r="AH436" s="73" t="str">
        <f>IF(SalCommune[[#This Row],[Allocations fonctions]]="","",IF(ISNA(VLOOKUP(SalCommune[[#This Row],[Allocations fonctions]],DROPDOWN[Dropdown82],1,FALSE))=TRUE,"&lt;-- Veuillez choisir l'allocation parmis la liste déroulante.",""))</f>
        <v/>
      </c>
    </row>
    <row r="437" spans="1:34" x14ac:dyDescent="0.25">
      <c r="A437" s="73" t="str">
        <f>IF(SalCommune[[#This Row],[Statut]]="","",IF(ISNA(VLOOKUP(SalCommune[[#This Row],[Statut]],'Grille communale'!$B$3:$B$5,1,FALSE))=TRUE,"Veuillez choisir le statut parmis la liste déroulante",""))</f>
        <v/>
      </c>
      <c r="B437" s="8"/>
      <c r="C437" s="8"/>
      <c r="D437" s="8"/>
      <c r="E437" s="21"/>
      <c r="F437" s="8"/>
      <c r="G437" s="8"/>
      <c r="H437" s="9"/>
      <c r="I437" s="9"/>
      <c r="J437" s="9"/>
      <c r="K437" s="10"/>
      <c r="L437" s="10"/>
      <c r="M437" s="9"/>
      <c r="N437" s="9"/>
      <c r="O437" s="9"/>
      <c r="P437"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37" s="9"/>
      <c r="R437" s="9"/>
      <c r="S437" s="38"/>
      <c r="T437" s="38"/>
      <c r="U437" s="38"/>
      <c r="V437" s="38"/>
      <c r="W437" s="38"/>
      <c r="X437" s="67" t="str">
        <f>IF(COUNTA(SalCommune[[#This Row],[N°]:[heures annuelles
selon contrat(s)]])=0,"",SalCommune[[#This Row],[Brut]]+SalCommune[[#This Row],[Autres Primes]]+SalCommune[[#This Row],[Part patronale]]-ABS(SalCommune[[#This Row],[Remboursement Mutualité]])-ABS(SalCommune[[#This Row],[Remboursement
Autres]]))</f>
        <v/>
      </c>
      <c r="Y437" s="38"/>
      <c r="Z437"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37" s="8"/>
      <c r="AB437" s="64"/>
      <c r="AC437"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37"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37" s="505"/>
      <c r="AF437" s="187"/>
      <c r="AG437" s="200" t="str">
        <f>IF(COUNTA(SalCommune[[#This Row],[N°]:[heures annuelles
selon contrat(s)]])=0,"",REVEX!$E$9)</f>
        <v/>
      </c>
      <c r="AH437" s="73" t="str">
        <f>IF(SalCommune[[#This Row],[Allocations fonctions]]="","",IF(ISNA(VLOOKUP(SalCommune[[#This Row],[Allocations fonctions]],DROPDOWN[Dropdown82],1,FALSE))=TRUE,"&lt;-- Veuillez choisir l'allocation parmis la liste déroulante.",""))</f>
        <v/>
      </c>
    </row>
    <row r="438" spans="1:34" x14ac:dyDescent="0.25">
      <c r="A438" s="73" t="str">
        <f>IF(SalCommune[[#This Row],[Statut]]="","",IF(ISNA(VLOOKUP(SalCommune[[#This Row],[Statut]],'Grille communale'!$B$3:$B$5,1,FALSE))=TRUE,"Veuillez choisir le statut parmis la liste déroulante",""))</f>
        <v/>
      </c>
      <c r="B438" s="8"/>
      <c r="C438" s="8"/>
      <c r="D438" s="8"/>
      <c r="E438" s="21"/>
      <c r="F438" s="8"/>
      <c r="G438" s="8"/>
      <c r="H438" s="9"/>
      <c r="I438" s="9"/>
      <c r="J438" s="9"/>
      <c r="K438" s="10"/>
      <c r="L438" s="10"/>
      <c r="M438" s="9"/>
      <c r="N438" s="9"/>
      <c r="O438" s="9"/>
      <c r="P438"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38" s="9"/>
      <c r="R438" s="9"/>
      <c r="S438" s="38"/>
      <c r="T438" s="38"/>
      <c r="U438" s="38"/>
      <c r="V438" s="38"/>
      <c r="W438" s="38"/>
      <c r="X438" s="67" t="str">
        <f>IF(COUNTA(SalCommune[[#This Row],[N°]:[heures annuelles
selon contrat(s)]])=0,"",SalCommune[[#This Row],[Brut]]+SalCommune[[#This Row],[Autres Primes]]+SalCommune[[#This Row],[Part patronale]]-ABS(SalCommune[[#This Row],[Remboursement Mutualité]])-ABS(SalCommune[[#This Row],[Remboursement
Autres]]))</f>
        <v/>
      </c>
      <c r="Y438" s="38"/>
      <c r="Z438"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38" s="8"/>
      <c r="AB438" s="64"/>
      <c r="AC438"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38"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38" s="505"/>
      <c r="AF438" s="187"/>
      <c r="AG438" s="200" t="str">
        <f>IF(COUNTA(SalCommune[[#This Row],[N°]:[heures annuelles
selon contrat(s)]])=0,"",REVEX!$E$9)</f>
        <v/>
      </c>
      <c r="AH438" s="73" t="str">
        <f>IF(SalCommune[[#This Row],[Allocations fonctions]]="","",IF(ISNA(VLOOKUP(SalCommune[[#This Row],[Allocations fonctions]],DROPDOWN[Dropdown82],1,FALSE))=TRUE,"&lt;-- Veuillez choisir l'allocation parmis la liste déroulante.",""))</f>
        <v/>
      </c>
    </row>
    <row r="439" spans="1:34" x14ac:dyDescent="0.25">
      <c r="A439" s="73" t="str">
        <f>IF(SalCommune[[#This Row],[Statut]]="","",IF(ISNA(VLOOKUP(SalCommune[[#This Row],[Statut]],'Grille communale'!$B$3:$B$5,1,FALSE))=TRUE,"Veuillez choisir le statut parmis la liste déroulante",""))</f>
        <v/>
      </c>
      <c r="B439" s="8"/>
      <c r="C439" s="8"/>
      <c r="D439" s="8"/>
      <c r="E439" s="21"/>
      <c r="F439" s="8"/>
      <c r="G439" s="8"/>
      <c r="H439" s="9"/>
      <c r="I439" s="9"/>
      <c r="J439" s="9"/>
      <c r="K439" s="10"/>
      <c r="L439" s="10"/>
      <c r="M439" s="9"/>
      <c r="N439" s="9"/>
      <c r="O439" s="9"/>
      <c r="P439"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39" s="9"/>
      <c r="R439" s="9"/>
      <c r="S439" s="38"/>
      <c r="T439" s="38"/>
      <c r="U439" s="38"/>
      <c r="V439" s="38"/>
      <c r="W439" s="38"/>
      <c r="X439" s="67" t="str">
        <f>IF(COUNTA(SalCommune[[#This Row],[N°]:[heures annuelles
selon contrat(s)]])=0,"",SalCommune[[#This Row],[Brut]]+SalCommune[[#This Row],[Autres Primes]]+SalCommune[[#This Row],[Part patronale]]-ABS(SalCommune[[#This Row],[Remboursement Mutualité]])-ABS(SalCommune[[#This Row],[Remboursement
Autres]]))</f>
        <v/>
      </c>
      <c r="Y439" s="38"/>
      <c r="Z439"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39" s="8"/>
      <c r="AB439" s="64"/>
      <c r="AC439"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39"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39" s="505"/>
      <c r="AF439" s="187"/>
      <c r="AG439" s="200" t="str">
        <f>IF(COUNTA(SalCommune[[#This Row],[N°]:[heures annuelles
selon contrat(s)]])=0,"",REVEX!$E$9)</f>
        <v/>
      </c>
      <c r="AH439" s="73" t="str">
        <f>IF(SalCommune[[#This Row],[Allocations fonctions]]="","",IF(ISNA(VLOOKUP(SalCommune[[#This Row],[Allocations fonctions]],DROPDOWN[Dropdown82],1,FALSE))=TRUE,"&lt;-- Veuillez choisir l'allocation parmis la liste déroulante.",""))</f>
        <v/>
      </c>
    </row>
    <row r="440" spans="1:34" x14ac:dyDescent="0.25">
      <c r="A440" s="73" t="str">
        <f>IF(SalCommune[[#This Row],[Statut]]="","",IF(ISNA(VLOOKUP(SalCommune[[#This Row],[Statut]],'Grille communale'!$B$3:$B$5,1,FALSE))=TRUE,"Veuillez choisir le statut parmis la liste déroulante",""))</f>
        <v/>
      </c>
      <c r="B440" s="8"/>
      <c r="C440" s="8"/>
      <c r="D440" s="8"/>
      <c r="E440" s="21"/>
      <c r="F440" s="8"/>
      <c r="G440" s="8"/>
      <c r="H440" s="9"/>
      <c r="I440" s="9"/>
      <c r="J440" s="9"/>
      <c r="K440" s="10"/>
      <c r="L440" s="10"/>
      <c r="M440" s="9"/>
      <c r="N440" s="9"/>
      <c r="O440" s="9"/>
      <c r="P440"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40" s="9"/>
      <c r="R440" s="9"/>
      <c r="S440" s="38"/>
      <c r="T440" s="38"/>
      <c r="U440" s="38"/>
      <c r="V440" s="38"/>
      <c r="W440" s="38"/>
      <c r="X440" s="67" t="str">
        <f>IF(COUNTA(SalCommune[[#This Row],[N°]:[heures annuelles
selon contrat(s)]])=0,"",SalCommune[[#This Row],[Brut]]+SalCommune[[#This Row],[Autres Primes]]+SalCommune[[#This Row],[Part patronale]]-ABS(SalCommune[[#This Row],[Remboursement Mutualité]])-ABS(SalCommune[[#This Row],[Remboursement
Autres]]))</f>
        <v/>
      </c>
      <c r="Y440" s="38"/>
      <c r="Z440"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40" s="8"/>
      <c r="AB440" s="64"/>
      <c r="AC440"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40"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40" s="505"/>
      <c r="AF440" s="187"/>
      <c r="AG440" s="200" t="str">
        <f>IF(COUNTA(SalCommune[[#This Row],[N°]:[heures annuelles
selon contrat(s)]])=0,"",REVEX!$E$9)</f>
        <v/>
      </c>
      <c r="AH440" s="73" t="str">
        <f>IF(SalCommune[[#This Row],[Allocations fonctions]]="","",IF(ISNA(VLOOKUP(SalCommune[[#This Row],[Allocations fonctions]],DROPDOWN[Dropdown82],1,FALSE))=TRUE,"&lt;-- Veuillez choisir l'allocation parmis la liste déroulante.",""))</f>
        <v/>
      </c>
    </row>
    <row r="441" spans="1:34" x14ac:dyDescent="0.25">
      <c r="A441" s="73" t="str">
        <f>IF(SalCommune[[#This Row],[Statut]]="","",IF(ISNA(VLOOKUP(SalCommune[[#This Row],[Statut]],'Grille communale'!$B$3:$B$5,1,FALSE))=TRUE,"Veuillez choisir le statut parmis la liste déroulante",""))</f>
        <v/>
      </c>
      <c r="B441" s="8"/>
      <c r="C441" s="8"/>
      <c r="D441" s="8"/>
      <c r="E441" s="21"/>
      <c r="F441" s="8"/>
      <c r="G441" s="8"/>
      <c r="H441" s="9"/>
      <c r="I441" s="9"/>
      <c r="J441" s="9"/>
      <c r="K441" s="10"/>
      <c r="L441" s="10"/>
      <c r="M441" s="9"/>
      <c r="N441" s="9"/>
      <c r="O441" s="9"/>
      <c r="P441"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41" s="9"/>
      <c r="R441" s="9"/>
      <c r="S441" s="38"/>
      <c r="T441" s="38"/>
      <c r="U441" s="38"/>
      <c r="V441" s="38"/>
      <c r="W441" s="38"/>
      <c r="X441" s="67" t="str">
        <f>IF(COUNTA(SalCommune[[#This Row],[N°]:[heures annuelles
selon contrat(s)]])=0,"",SalCommune[[#This Row],[Brut]]+SalCommune[[#This Row],[Autres Primes]]+SalCommune[[#This Row],[Part patronale]]-ABS(SalCommune[[#This Row],[Remboursement Mutualité]])-ABS(SalCommune[[#This Row],[Remboursement
Autres]]))</f>
        <v/>
      </c>
      <c r="Y441" s="38"/>
      <c r="Z441"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41" s="8"/>
      <c r="AB441" s="64"/>
      <c r="AC441"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41"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41" s="505"/>
      <c r="AF441" s="187"/>
      <c r="AG441" s="200" t="str">
        <f>IF(COUNTA(SalCommune[[#This Row],[N°]:[heures annuelles
selon contrat(s)]])=0,"",REVEX!$E$9)</f>
        <v/>
      </c>
      <c r="AH441" s="73" t="str">
        <f>IF(SalCommune[[#This Row],[Allocations fonctions]]="","",IF(ISNA(VLOOKUP(SalCommune[[#This Row],[Allocations fonctions]],DROPDOWN[Dropdown82],1,FALSE))=TRUE,"&lt;-- Veuillez choisir l'allocation parmis la liste déroulante.",""))</f>
        <v/>
      </c>
    </row>
    <row r="442" spans="1:34" x14ac:dyDescent="0.25">
      <c r="A442" s="73" t="str">
        <f>IF(SalCommune[[#This Row],[Statut]]="","",IF(ISNA(VLOOKUP(SalCommune[[#This Row],[Statut]],'Grille communale'!$B$3:$B$5,1,FALSE))=TRUE,"Veuillez choisir le statut parmis la liste déroulante",""))</f>
        <v/>
      </c>
      <c r="B442" s="8"/>
      <c r="C442" s="8"/>
      <c r="D442" s="8"/>
      <c r="E442" s="21"/>
      <c r="F442" s="8"/>
      <c r="G442" s="8"/>
      <c r="H442" s="9"/>
      <c r="I442" s="9"/>
      <c r="J442" s="9"/>
      <c r="K442" s="10"/>
      <c r="L442" s="10"/>
      <c r="M442" s="9"/>
      <c r="N442" s="9"/>
      <c r="O442" s="9"/>
      <c r="P442"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42" s="9"/>
      <c r="R442" s="9"/>
      <c r="S442" s="38"/>
      <c r="T442" s="38"/>
      <c r="U442" s="38"/>
      <c r="V442" s="38"/>
      <c r="W442" s="38"/>
      <c r="X442" s="67" t="str">
        <f>IF(COUNTA(SalCommune[[#This Row],[N°]:[heures annuelles
selon contrat(s)]])=0,"",SalCommune[[#This Row],[Brut]]+SalCommune[[#This Row],[Autres Primes]]+SalCommune[[#This Row],[Part patronale]]-ABS(SalCommune[[#This Row],[Remboursement Mutualité]])-ABS(SalCommune[[#This Row],[Remboursement
Autres]]))</f>
        <v/>
      </c>
      <c r="Y442" s="38"/>
      <c r="Z442"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42" s="8"/>
      <c r="AB442" s="64"/>
      <c r="AC442"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42"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42" s="505"/>
      <c r="AF442" s="187"/>
      <c r="AG442" s="200" t="str">
        <f>IF(COUNTA(SalCommune[[#This Row],[N°]:[heures annuelles
selon contrat(s)]])=0,"",REVEX!$E$9)</f>
        <v/>
      </c>
      <c r="AH442" s="73" t="str">
        <f>IF(SalCommune[[#This Row],[Allocations fonctions]]="","",IF(ISNA(VLOOKUP(SalCommune[[#This Row],[Allocations fonctions]],DROPDOWN[Dropdown82],1,FALSE))=TRUE,"&lt;-- Veuillez choisir l'allocation parmis la liste déroulante.",""))</f>
        <v/>
      </c>
    </row>
    <row r="443" spans="1:34" x14ac:dyDescent="0.25">
      <c r="A443" s="73" t="str">
        <f>IF(SalCommune[[#This Row],[Statut]]="","",IF(ISNA(VLOOKUP(SalCommune[[#This Row],[Statut]],'Grille communale'!$B$3:$B$5,1,FALSE))=TRUE,"Veuillez choisir le statut parmis la liste déroulante",""))</f>
        <v/>
      </c>
      <c r="B443" s="8"/>
      <c r="C443" s="8"/>
      <c r="D443" s="8"/>
      <c r="E443" s="21"/>
      <c r="F443" s="8"/>
      <c r="G443" s="8"/>
      <c r="H443" s="9"/>
      <c r="I443" s="9"/>
      <c r="J443" s="9"/>
      <c r="K443" s="10"/>
      <c r="L443" s="10"/>
      <c r="M443" s="9"/>
      <c r="N443" s="9"/>
      <c r="O443" s="9"/>
      <c r="P443"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43" s="9"/>
      <c r="R443" s="9"/>
      <c r="S443" s="38"/>
      <c r="T443" s="38"/>
      <c r="U443" s="38"/>
      <c r="V443" s="38"/>
      <c r="W443" s="38"/>
      <c r="X443" s="67" t="str">
        <f>IF(COUNTA(SalCommune[[#This Row],[N°]:[heures annuelles
selon contrat(s)]])=0,"",SalCommune[[#This Row],[Brut]]+SalCommune[[#This Row],[Autres Primes]]+SalCommune[[#This Row],[Part patronale]]-ABS(SalCommune[[#This Row],[Remboursement Mutualité]])-ABS(SalCommune[[#This Row],[Remboursement
Autres]]))</f>
        <v/>
      </c>
      <c r="Y443" s="38"/>
      <c r="Z443"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43" s="8"/>
      <c r="AB443" s="64"/>
      <c r="AC443"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43"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43" s="505"/>
      <c r="AF443" s="187"/>
      <c r="AG443" s="200" t="str">
        <f>IF(COUNTA(SalCommune[[#This Row],[N°]:[heures annuelles
selon contrat(s)]])=0,"",REVEX!$E$9)</f>
        <v/>
      </c>
      <c r="AH443" s="73" t="str">
        <f>IF(SalCommune[[#This Row],[Allocations fonctions]]="","",IF(ISNA(VLOOKUP(SalCommune[[#This Row],[Allocations fonctions]],DROPDOWN[Dropdown82],1,FALSE))=TRUE,"&lt;-- Veuillez choisir l'allocation parmis la liste déroulante.",""))</f>
        <v/>
      </c>
    </row>
    <row r="444" spans="1:34" x14ac:dyDescent="0.25">
      <c r="A444" s="73" t="str">
        <f>IF(SalCommune[[#This Row],[Statut]]="","",IF(ISNA(VLOOKUP(SalCommune[[#This Row],[Statut]],'Grille communale'!$B$3:$B$5,1,FALSE))=TRUE,"Veuillez choisir le statut parmis la liste déroulante",""))</f>
        <v/>
      </c>
      <c r="B444" s="8"/>
      <c r="C444" s="8"/>
      <c r="D444" s="8"/>
      <c r="E444" s="21"/>
      <c r="F444" s="8"/>
      <c r="G444" s="8"/>
      <c r="H444" s="9"/>
      <c r="I444" s="9"/>
      <c r="J444" s="9"/>
      <c r="K444" s="10"/>
      <c r="L444" s="10"/>
      <c r="M444" s="9"/>
      <c r="N444" s="9"/>
      <c r="O444" s="9"/>
      <c r="P444"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44" s="9"/>
      <c r="R444" s="9"/>
      <c r="S444" s="38"/>
      <c r="T444" s="38"/>
      <c r="U444" s="38"/>
      <c r="V444" s="38"/>
      <c r="W444" s="38"/>
      <c r="X444" s="67" t="str">
        <f>IF(COUNTA(SalCommune[[#This Row],[N°]:[heures annuelles
selon contrat(s)]])=0,"",SalCommune[[#This Row],[Brut]]+SalCommune[[#This Row],[Autres Primes]]+SalCommune[[#This Row],[Part patronale]]-ABS(SalCommune[[#This Row],[Remboursement Mutualité]])-ABS(SalCommune[[#This Row],[Remboursement
Autres]]))</f>
        <v/>
      </c>
      <c r="Y444" s="38"/>
      <c r="Z444"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44" s="8"/>
      <c r="AB444" s="64"/>
      <c r="AC444"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44"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44" s="505"/>
      <c r="AF444" s="187"/>
      <c r="AG444" s="200" t="str">
        <f>IF(COUNTA(SalCommune[[#This Row],[N°]:[heures annuelles
selon contrat(s)]])=0,"",REVEX!$E$9)</f>
        <v/>
      </c>
      <c r="AH444" s="73" t="str">
        <f>IF(SalCommune[[#This Row],[Allocations fonctions]]="","",IF(ISNA(VLOOKUP(SalCommune[[#This Row],[Allocations fonctions]],DROPDOWN[Dropdown82],1,FALSE))=TRUE,"&lt;-- Veuillez choisir l'allocation parmis la liste déroulante.",""))</f>
        <v/>
      </c>
    </row>
    <row r="445" spans="1:34" x14ac:dyDescent="0.25">
      <c r="A445" s="73" t="str">
        <f>IF(SalCommune[[#This Row],[Statut]]="","",IF(ISNA(VLOOKUP(SalCommune[[#This Row],[Statut]],'Grille communale'!$B$3:$B$5,1,FALSE))=TRUE,"Veuillez choisir le statut parmis la liste déroulante",""))</f>
        <v/>
      </c>
      <c r="B445" s="8"/>
      <c r="C445" s="8"/>
      <c r="D445" s="8"/>
      <c r="E445" s="21"/>
      <c r="F445" s="8"/>
      <c r="G445" s="8"/>
      <c r="H445" s="9"/>
      <c r="I445" s="9"/>
      <c r="J445" s="9"/>
      <c r="K445" s="10"/>
      <c r="L445" s="10"/>
      <c r="M445" s="9"/>
      <c r="N445" s="9"/>
      <c r="O445" s="9"/>
      <c r="P445"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45" s="9"/>
      <c r="R445" s="9"/>
      <c r="S445" s="38"/>
      <c r="T445" s="38"/>
      <c r="U445" s="38"/>
      <c r="V445" s="38"/>
      <c r="W445" s="38"/>
      <c r="X445" s="67" t="str">
        <f>IF(COUNTA(SalCommune[[#This Row],[N°]:[heures annuelles
selon contrat(s)]])=0,"",SalCommune[[#This Row],[Brut]]+SalCommune[[#This Row],[Autres Primes]]+SalCommune[[#This Row],[Part patronale]]-ABS(SalCommune[[#This Row],[Remboursement Mutualité]])-ABS(SalCommune[[#This Row],[Remboursement
Autres]]))</f>
        <v/>
      </c>
      <c r="Y445" s="38"/>
      <c r="Z445"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45" s="8"/>
      <c r="AB445" s="64"/>
      <c r="AC445"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45"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45" s="505"/>
      <c r="AF445" s="187"/>
      <c r="AG445" s="200" t="str">
        <f>IF(COUNTA(SalCommune[[#This Row],[N°]:[heures annuelles
selon contrat(s)]])=0,"",REVEX!$E$9)</f>
        <v/>
      </c>
      <c r="AH445" s="73" t="str">
        <f>IF(SalCommune[[#This Row],[Allocations fonctions]]="","",IF(ISNA(VLOOKUP(SalCommune[[#This Row],[Allocations fonctions]],DROPDOWN[Dropdown82],1,FALSE))=TRUE,"&lt;-- Veuillez choisir l'allocation parmis la liste déroulante.",""))</f>
        <v/>
      </c>
    </row>
    <row r="446" spans="1:34" x14ac:dyDescent="0.25">
      <c r="A446" s="73" t="str">
        <f>IF(SalCommune[[#This Row],[Statut]]="","",IF(ISNA(VLOOKUP(SalCommune[[#This Row],[Statut]],'Grille communale'!$B$3:$B$5,1,FALSE))=TRUE,"Veuillez choisir le statut parmis la liste déroulante",""))</f>
        <v/>
      </c>
      <c r="B446" s="8"/>
      <c r="C446" s="8"/>
      <c r="D446" s="8"/>
      <c r="E446" s="21"/>
      <c r="F446" s="8"/>
      <c r="G446" s="8"/>
      <c r="H446" s="9"/>
      <c r="I446" s="9"/>
      <c r="J446" s="9"/>
      <c r="K446" s="10"/>
      <c r="L446" s="10"/>
      <c r="M446" s="9"/>
      <c r="N446" s="9"/>
      <c r="O446" s="9"/>
      <c r="P446"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46" s="9"/>
      <c r="R446" s="9"/>
      <c r="S446" s="38"/>
      <c r="T446" s="38"/>
      <c r="U446" s="38"/>
      <c r="V446" s="38"/>
      <c r="W446" s="38"/>
      <c r="X446" s="67" t="str">
        <f>IF(COUNTA(SalCommune[[#This Row],[N°]:[heures annuelles
selon contrat(s)]])=0,"",SalCommune[[#This Row],[Brut]]+SalCommune[[#This Row],[Autres Primes]]+SalCommune[[#This Row],[Part patronale]]-ABS(SalCommune[[#This Row],[Remboursement Mutualité]])-ABS(SalCommune[[#This Row],[Remboursement
Autres]]))</f>
        <v/>
      </c>
      <c r="Y446" s="38"/>
      <c r="Z446"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46" s="8"/>
      <c r="AB446" s="64"/>
      <c r="AC446"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46"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46" s="505"/>
      <c r="AF446" s="187"/>
      <c r="AG446" s="200" t="str">
        <f>IF(COUNTA(SalCommune[[#This Row],[N°]:[heures annuelles
selon contrat(s)]])=0,"",REVEX!$E$9)</f>
        <v/>
      </c>
      <c r="AH446" s="73" t="str">
        <f>IF(SalCommune[[#This Row],[Allocations fonctions]]="","",IF(ISNA(VLOOKUP(SalCommune[[#This Row],[Allocations fonctions]],DROPDOWN[Dropdown82],1,FALSE))=TRUE,"&lt;-- Veuillez choisir l'allocation parmis la liste déroulante.",""))</f>
        <v/>
      </c>
    </row>
    <row r="447" spans="1:34" x14ac:dyDescent="0.25">
      <c r="A447" s="73" t="str">
        <f>IF(SalCommune[[#This Row],[Statut]]="","",IF(ISNA(VLOOKUP(SalCommune[[#This Row],[Statut]],'Grille communale'!$B$3:$B$5,1,FALSE))=TRUE,"Veuillez choisir le statut parmis la liste déroulante",""))</f>
        <v/>
      </c>
      <c r="B447" s="8"/>
      <c r="C447" s="8"/>
      <c r="D447" s="8"/>
      <c r="E447" s="21"/>
      <c r="F447" s="8"/>
      <c r="G447" s="8"/>
      <c r="H447" s="9"/>
      <c r="I447" s="9"/>
      <c r="J447" s="9"/>
      <c r="K447" s="10"/>
      <c r="L447" s="10"/>
      <c r="M447" s="9"/>
      <c r="N447" s="9"/>
      <c r="O447" s="9"/>
      <c r="P447"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47" s="9"/>
      <c r="R447" s="9"/>
      <c r="S447" s="38"/>
      <c r="T447" s="38"/>
      <c r="U447" s="38"/>
      <c r="V447" s="38"/>
      <c r="W447" s="38"/>
      <c r="X447" s="67" t="str">
        <f>IF(COUNTA(SalCommune[[#This Row],[N°]:[heures annuelles
selon contrat(s)]])=0,"",SalCommune[[#This Row],[Brut]]+SalCommune[[#This Row],[Autres Primes]]+SalCommune[[#This Row],[Part patronale]]-ABS(SalCommune[[#This Row],[Remboursement Mutualité]])-ABS(SalCommune[[#This Row],[Remboursement
Autres]]))</f>
        <v/>
      </c>
      <c r="Y447" s="38"/>
      <c r="Z447"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47" s="8"/>
      <c r="AB447" s="64"/>
      <c r="AC447"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47"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47" s="505"/>
      <c r="AF447" s="187"/>
      <c r="AG447" s="200" t="str">
        <f>IF(COUNTA(SalCommune[[#This Row],[N°]:[heures annuelles
selon contrat(s)]])=0,"",REVEX!$E$9)</f>
        <v/>
      </c>
      <c r="AH447" s="73" t="str">
        <f>IF(SalCommune[[#This Row],[Allocations fonctions]]="","",IF(ISNA(VLOOKUP(SalCommune[[#This Row],[Allocations fonctions]],DROPDOWN[Dropdown82],1,FALSE))=TRUE,"&lt;-- Veuillez choisir l'allocation parmis la liste déroulante.",""))</f>
        <v/>
      </c>
    </row>
    <row r="448" spans="1:34" x14ac:dyDescent="0.25">
      <c r="A448" s="73" t="str">
        <f>IF(SalCommune[[#This Row],[Statut]]="","",IF(ISNA(VLOOKUP(SalCommune[[#This Row],[Statut]],'Grille communale'!$B$3:$B$5,1,FALSE))=TRUE,"Veuillez choisir le statut parmis la liste déroulante",""))</f>
        <v/>
      </c>
      <c r="B448" s="8"/>
      <c r="C448" s="8"/>
      <c r="D448" s="8"/>
      <c r="E448" s="21"/>
      <c r="F448" s="8"/>
      <c r="G448" s="8"/>
      <c r="H448" s="9"/>
      <c r="I448" s="9"/>
      <c r="J448" s="9"/>
      <c r="K448" s="10"/>
      <c r="L448" s="10"/>
      <c r="M448" s="9"/>
      <c r="N448" s="9"/>
      <c r="O448" s="9"/>
      <c r="P448"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48" s="9"/>
      <c r="R448" s="9"/>
      <c r="S448" s="38"/>
      <c r="T448" s="38"/>
      <c r="U448" s="38"/>
      <c r="V448" s="38"/>
      <c r="W448" s="38"/>
      <c r="X448" s="67" t="str">
        <f>IF(COUNTA(SalCommune[[#This Row],[N°]:[heures annuelles
selon contrat(s)]])=0,"",SalCommune[[#This Row],[Brut]]+SalCommune[[#This Row],[Autres Primes]]+SalCommune[[#This Row],[Part patronale]]-ABS(SalCommune[[#This Row],[Remboursement Mutualité]])-ABS(SalCommune[[#This Row],[Remboursement
Autres]]))</f>
        <v/>
      </c>
      <c r="Y448" s="38"/>
      <c r="Z448"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48" s="8"/>
      <c r="AB448" s="64"/>
      <c r="AC448"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48"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48" s="505"/>
      <c r="AF448" s="187"/>
      <c r="AG448" s="200" t="str">
        <f>IF(COUNTA(SalCommune[[#This Row],[N°]:[heures annuelles
selon contrat(s)]])=0,"",REVEX!$E$9)</f>
        <v/>
      </c>
      <c r="AH448" s="73" t="str">
        <f>IF(SalCommune[[#This Row],[Allocations fonctions]]="","",IF(ISNA(VLOOKUP(SalCommune[[#This Row],[Allocations fonctions]],DROPDOWN[Dropdown82],1,FALSE))=TRUE,"&lt;-- Veuillez choisir l'allocation parmis la liste déroulante.",""))</f>
        <v/>
      </c>
    </row>
    <row r="449" spans="1:34" x14ac:dyDescent="0.25">
      <c r="A449" s="73" t="str">
        <f>IF(SalCommune[[#This Row],[Statut]]="","",IF(ISNA(VLOOKUP(SalCommune[[#This Row],[Statut]],'Grille communale'!$B$3:$B$5,1,FALSE))=TRUE,"Veuillez choisir le statut parmis la liste déroulante",""))</f>
        <v/>
      </c>
      <c r="B449" s="8"/>
      <c r="C449" s="8"/>
      <c r="D449" s="8"/>
      <c r="E449" s="21"/>
      <c r="F449" s="8"/>
      <c r="G449" s="8"/>
      <c r="H449" s="9"/>
      <c r="I449" s="9"/>
      <c r="J449" s="9"/>
      <c r="K449" s="10"/>
      <c r="L449" s="10"/>
      <c r="M449" s="9"/>
      <c r="N449" s="9"/>
      <c r="O449" s="9"/>
      <c r="P449"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49" s="9"/>
      <c r="R449" s="9"/>
      <c r="S449" s="38"/>
      <c r="T449" s="38"/>
      <c r="U449" s="38"/>
      <c r="V449" s="38"/>
      <c r="W449" s="38"/>
      <c r="X449" s="67" t="str">
        <f>IF(COUNTA(SalCommune[[#This Row],[N°]:[heures annuelles
selon contrat(s)]])=0,"",SalCommune[[#This Row],[Brut]]+SalCommune[[#This Row],[Autres Primes]]+SalCommune[[#This Row],[Part patronale]]-ABS(SalCommune[[#This Row],[Remboursement Mutualité]])-ABS(SalCommune[[#This Row],[Remboursement
Autres]]))</f>
        <v/>
      </c>
      <c r="Y449" s="38"/>
      <c r="Z449"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49" s="8"/>
      <c r="AB449" s="64"/>
      <c r="AC449"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49"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49" s="505"/>
      <c r="AF449" s="187"/>
      <c r="AG449" s="200" t="str">
        <f>IF(COUNTA(SalCommune[[#This Row],[N°]:[heures annuelles
selon contrat(s)]])=0,"",REVEX!$E$9)</f>
        <v/>
      </c>
      <c r="AH449" s="73" t="str">
        <f>IF(SalCommune[[#This Row],[Allocations fonctions]]="","",IF(ISNA(VLOOKUP(SalCommune[[#This Row],[Allocations fonctions]],DROPDOWN[Dropdown82],1,FALSE))=TRUE,"&lt;-- Veuillez choisir l'allocation parmis la liste déroulante.",""))</f>
        <v/>
      </c>
    </row>
    <row r="450" spans="1:34" x14ac:dyDescent="0.25">
      <c r="A450" s="73" t="str">
        <f>IF(SalCommune[[#This Row],[Statut]]="","",IF(ISNA(VLOOKUP(SalCommune[[#This Row],[Statut]],'Grille communale'!$B$3:$B$5,1,FALSE))=TRUE,"Veuillez choisir le statut parmis la liste déroulante",""))</f>
        <v/>
      </c>
      <c r="B450" s="8"/>
      <c r="C450" s="8"/>
      <c r="D450" s="8"/>
      <c r="E450" s="21"/>
      <c r="F450" s="8"/>
      <c r="G450" s="8"/>
      <c r="H450" s="9"/>
      <c r="I450" s="9"/>
      <c r="J450" s="9"/>
      <c r="K450" s="10"/>
      <c r="L450" s="10"/>
      <c r="M450" s="9"/>
      <c r="N450" s="9"/>
      <c r="O450" s="9"/>
      <c r="P450"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50" s="9"/>
      <c r="R450" s="9"/>
      <c r="S450" s="38"/>
      <c r="T450" s="38"/>
      <c r="U450" s="38"/>
      <c r="V450" s="38"/>
      <c r="W450" s="38"/>
      <c r="X450" s="67" t="str">
        <f>IF(COUNTA(SalCommune[[#This Row],[N°]:[heures annuelles
selon contrat(s)]])=0,"",SalCommune[[#This Row],[Brut]]+SalCommune[[#This Row],[Autres Primes]]+SalCommune[[#This Row],[Part patronale]]-ABS(SalCommune[[#This Row],[Remboursement Mutualité]])-ABS(SalCommune[[#This Row],[Remboursement
Autres]]))</f>
        <v/>
      </c>
      <c r="Y450" s="38"/>
      <c r="Z450"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50" s="8"/>
      <c r="AB450" s="64"/>
      <c r="AC450"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50"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50" s="505"/>
      <c r="AF450" s="187"/>
      <c r="AG450" s="200" t="str">
        <f>IF(COUNTA(SalCommune[[#This Row],[N°]:[heures annuelles
selon contrat(s)]])=0,"",REVEX!$E$9)</f>
        <v/>
      </c>
      <c r="AH450" s="73" t="str">
        <f>IF(SalCommune[[#This Row],[Allocations fonctions]]="","",IF(ISNA(VLOOKUP(SalCommune[[#This Row],[Allocations fonctions]],DROPDOWN[Dropdown82],1,FALSE))=TRUE,"&lt;-- Veuillez choisir l'allocation parmis la liste déroulante.",""))</f>
        <v/>
      </c>
    </row>
    <row r="451" spans="1:34" x14ac:dyDescent="0.25">
      <c r="A451" s="73" t="str">
        <f>IF(SalCommune[[#This Row],[Statut]]="","",IF(ISNA(VLOOKUP(SalCommune[[#This Row],[Statut]],'Grille communale'!$B$3:$B$5,1,FALSE))=TRUE,"Veuillez choisir le statut parmis la liste déroulante",""))</f>
        <v/>
      </c>
      <c r="B451" s="8"/>
      <c r="C451" s="8"/>
      <c r="D451" s="8"/>
      <c r="E451" s="21"/>
      <c r="F451" s="8"/>
      <c r="G451" s="8"/>
      <c r="H451" s="9"/>
      <c r="I451" s="9"/>
      <c r="J451" s="9"/>
      <c r="K451" s="10"/>
      <c r="L451" s="10"/>
      <c r="M451" s="9"/>
      <c r="N451" s="9"/>
      <c r="O451" s="9"/>
      <c r="P451"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51" s="9"/>
      <c r="R451" s="9"/>
      <c r="S451" s="38"/>
      <c r="T451" s="38"/>
      <c r="U451" s="38"/>
      <c r="V451" s="38"/>
      <c r="W451" s="38"/>
      <c r="X451" s="67" t="str">
        <f>IF(COUNTA(SalCommune[[#This Row],[N°]:[heures annuelles
selon contrat(s)]])=0,"",SalCommune[[#This Row],[Brut]]+SalCommune[[#This Row],[Autres Primes]]+SalCommune[[#This Row],[Part patronale]]-ABS(SalCommune[[#This Row],[Remboursement Mutualité]])-ABS(SalCommune[[#This Row],[Remboursement
Autres]]))</f>
        <v/>
      </c>
      <c r="Y451" s="38"/>
      <c r="Z451"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51" s="8"/>
      <c r="AB451" s="64"/>
      <c r="AC451"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51"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51" s="505"/>
      <c r="AF451" s="187"/>
      <c r="AG451" s="200" t="str">
        <f>IF(COUNTA(SalCommune[[#This Row],[N°]:[heures annuelles
selon contrat(s)]])=0,"",REVEX!$E$9)</f>
        <v/>
      </c>
      <c r="AH451" s="73" t="str">
        <f>IF(SalCommune[[#This Row],[Allocations fonctions]]="","",IF(ISNA(VLOOKUP(SalCommune[[#This Row],[Allocations fonctions]],DROPDOWN[Dropdown82],1,FALSE))=TRUE,"&lt;-- Veuillez choisir l'allocation parmis la liste déroulante.",""))</f>
        <v/>
      </c>
    </row>
    <row r="452" spans="1:34" x14ac:dyDescent="0.25">
      <c r="A452" s="73" t="str">
        <f>IF(SalCommune[[#This Row],[Statut]]="","",IF(ISNA(VLOOKUP(SalCommune[[#This Row],[Statut]],'Grille communale'!$B$3:$B$5,1,FALSE))=TRUE,"Veuillez choisir le statut parmis la liste déroulante",""))</f>
        <v/>
      </c>
      <c r="B452" s="8"/>
      <c r="C452" s="8"/>
      <c r="D452" s="8"/>
      <c r="E452" s="21"/>
      <c r="F452" s="8"/>
      <c r="G452" s="8"/>
      <c r="H452" s="9"/>
      <c r="I452" s="9"/>
      <c r="J452" s="9"/>
      <c r="K452" s="10"/>
      <c r="L452" s="10"/>
      <c r="M452" s="9"/>
      <c r="N452" s="9"/>
      <c r="O452" s="9"/>
      <c r="P452"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52" s="9"/>
      <c r="R452" s="9"/>
      <c r="S452" s="38"/>
      <c r="T452" s="38"/>
      <c r="U452" s="38"/>
      <c r="V452" s="38"/>
      <c r="W452" s="38"/>
      <c r="X452" s="67" t="str">
        <f>IF(COUNTA(SalCommune[[#This Row],[N°]:[heures annuelles
selon contrat(s)]])=0,"",SalCommune[[#This Row],[Brut]]+SalCommune[[#This Row],[Autres Primes]]+SalCommune[[#This Row],[Part patronale]]-ABS(SalCommune[[#This Row],[Remboursement Mutualité]])-ABS(SalCommune[[#This Row],[Remboursement
Autres]]))</f>
        <v/>
      </c>
      <c r="Y452" s="38"/>
      <c r="Z452"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52" s="8"/>
      <c r="AB452" s="64"/>
      <c r="AC452"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52"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52" s="505"/>
      <c r="AF452" s="187"/>
      <c r="AG452" s="200" t="str">
        <f>IF(COUNTA(SalCommune[[#This Row],[N°]:[heures annuelles
selon contrat(s)]])=0,"",REVEX!$E$9)</f>
        <v/>
      </c>
      <c r="AH452" s="73" t="str">
        <f>IF(SalCommune[[#This Row],[Allocations fonctions]]="","",IF(ISNA(VLOOKUP(SalCommune[[#This Row],[Allocations fonctions]],DROPDOWN[Dropdown82],1,FALSE))=TRUE,"&lt;-- Veuillez choisir l'allocation parmis la liste déroulante.",""))</f>
        <v/>
      </c>
    </row>
    <row r="453" spans="1:34" x14ac:dyDescent="0.25">
      <c r="A453" s="73" t="str">
        <f>IF(SalCommune[[#This Row],[Statut]]="","",IF(ISNA(VLOOKUP(SalCommune[[#This Row],[Statut]],'Grille communale'!$B$3:$B$5,1,FALSE))=TRUE,"Veuillez choisir le statut parmis la liste déroulante",""))</f>
        <v/>
      </c>
      <c r="B453" s="8"/>
      <c r="C453" s="8"/>
      <c r="D453" s="8"/>
      <c r="E453" s="21"/>
      <c r="F453" s="8"/>
      <c r="G453" s="8"/>
      <c r="H453" s="9"/>
      <c r="I453" s="9"/>
      <c r="J453" s="9"/>
      <c r="K453" s="10"/>
      <c r="L453" s="10"/>
      <c r="M453" s="9"/>
      <c r="N453" s="9"/>
      <c r="O453" s="9"/>
      <c r="P453"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53" s="9"/>
      <c r="R453" s="9"/>
      <c r="S453" s="38"/>
      <c r="T453" s="38"/>
      <c r="U453" s="38"/>
      <c r="V453" s="38"/>
      <c r="W453" s="38"/>
      <c r="X453" s="67" t="str">
        <f>IF(COUNTA(SalCommune[[#This Row],[N°]:[heures annuelles
selon contrat(s)]])=0,"",SalCommune[[#This Row],[Brut]]+SalCommune[[#This Row],[Autres Primes]]+SalCommune[[#This Row],[Part patronale]]-ABS(SalCommune[[#This Row],[Remboursement Mutualité]])-ABS(SalCommune[[#This Row],[Remboursement
Autres]]))</f>
        <v/>
      </c>
      <c r="Y453" s="38"/>
      <c r="Z453"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53" s="8"/>
      <c r="AB453" s="64"/>
      <c r="AC453"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53"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53" s="505"/>
      <c r="AF453" s="187"/>
      <c r="AG453" s="200" t="str">
        <f>IF(COUNTA(SalCommune[[#This Row],[N°]:[heures annuelles
selon contrat(s)]])=0,"",REVEX!$E$9)</f>
        <v/>
      </c>
      <c r="AH453" s="73" t="str">
        <f>IF(SalCommune[[#This Row],[Allocations fonctions]]="","",IF(ISNA(VLOOKUP(SalCommune[[#This Row],[Allocations fonctions]],DROPDOWN[Dropdown82],1,FALSE))=TRUE,"&lt;-- Veuillez choisir l'allocation parmis la liste déroulante.",""))</f>
        <v/>
      </c>
    </row>
    <row r="454" spans="1:34" x14ac:dyDescent="0.25">
      <c r="A454" s="73" t="str">
        <f>IF(SalCommune[[#This Row],[Statut]]="","",IF(ISNA(VLOOKUP(SalCommune[[#This Row],[Statut]],'Grille communale'!$B$3:$B$5,1,FALSE))=TRUE,"Veuillez choisir le statut parmis la liste déroulante",""))</f>
        <v/>
      </c>
      <c r="B454" s="8"/>
      <c r="C454" s="8"/>
      <c r="D454" s="8"/>
      <c r="E454" s="21"/>
      <c r="F454" s="8"/>
      <c r="G454" s="8"/>
      <c r="H454" s="9"/>
      <c r="I454" s="9"/>
      <c r="J454" s="9"/>
      <c r="K454" s="10"/>
      <c r="L454" s="10"/>
      <c r="M454" s="9"/>
      <c r="N454" s="9"/>
      <c r="O454" s="9"/>
      <c r="P454"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54" s="9"/>
      <c r="R454" s="9"/>
      <c r="S454" s="38"/>
      <c r="T454" s="38"/>
      <c r="U454" s="38"/>
      <c r="V454" s="38"/>
      <c r="W454" s="38"/>
      <c r="X454" s="67" t="str">
        <f>IF(COUNTA(SalCommune[[#This Row],[N°]:[heures annuelles
selon contrat(s)]])=0,"",SalCommune[[#This Row],[Brut]]+SalCommune[[#This Row],[Autres Primes]]+SalCommune[[#This Row],[Part patronale]]-ABS(SalCommune[[#This Row],[Remboursement Mutualité]])-ABS(SalCommune[[#This Row],[Remboursement
Autres]]))</f>
        <v/>
      </c>
      <c r="Y454" s="38"/>
      <c r="Z454"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54" s="8"/>
      <c r="AB454" s="64"/>
      <c r="AC454"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54"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54" s="505"/>
      <c r="AF454" s="187"/>
      <c r="AG454" s="200" t="str">
        <f>IF(COUNTA(SalCommune[[#This Row],[N°]:[heures annuelles
selon contrat(s)]])=0,"",REVEX!$E$9)</f>
        <v/>
      </c>
      <c r="AH454" s="73" t="str">
        <f>IF(SalCommune[[#This Row],[Allocations fonctions]]="","",IF(ISNA(VLOOKUP(SalCommune[[#This Row],[Allocations fonctions]],DROPDOWN[Dropdown82],1,FALSE))=TRUE,"&lt;-- Veuillez choisir l'allocation parmis la liste déroulante.",""))</f>
        <v/>
      </c>
    </row>
    <row r="455" spans="1:34" x14ac:dyDescent="0.25">
      <c r="A455" s="73" t="str">
        <f>IF(SalCommune[[#This Row],[Statut]]="","",IF(ISNA(VLOOKUP(SalCommune[[#This Row],[Statut]],'Grille communale'!$B$3:$B$5,1,FALSE))=TRUE,"Veuillez choisir le statut parmis la liste déroulante",""))</f>
        <v/>
      </c>
      <c r="B455" s="8"/>
      <c r="C455" s="8"/>
      <c r="D455" s="8"/>
      <c r="E455" s="21"/>
      <c r="F455" s="8"/>
      <c r="G455" s="8"/>
      <c r="H455" s="9"/>
      <c r="I455" s="9"/>
      <c r="J455" s="9"/>
      <c r="K455" s="10"/>
      <c r="L455" s="10"/>
      <c r="M455" s="9"/>
      <c r="N455" s="9"/>
      <c r="O455" s="9"/>
      <c r="P455"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55" s="9"/>
      <c r="R455" s="9"/>
      <c r="S455" s="38"/>
      <c r="T455" s="38"/>
      <c r="U455" s="38"/>
      <c r="V455" s="38"/>
      <c r="W455" s="38"/>
      <c r="X455" s="67" t="str">
        <f>IF(COUNTA(SalCommune[[#This Row],[N°]:[heures annuelles
selon contrat(s)]])=0,"",SalCommune[[#This Row],[Brut]]+SalCommune[[#This Row],[Autres Primes]]+SalCommune[[#This Row],[Part patronale]]-ABS(SalCommune[[#This Row],[Remboursement Mutualité]])-ABS(SalCommune[[#This Row],[Remboursement
Autres]]))</f>
        <v/>
      </c>
      <c r="Y455" s="38"/>
      <c r="Z455"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55" s="8"/>
      <c r="AB455" s="64"/>
      <c r="AC455"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55"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55" s="505"/>
      <c r="AF455" s="187"/>
      <c r="AG455" s="200" t="str">
        <f>IF(COUNTA(SalCommune[[#This Row],[N°]:[heures annuelles
selon contrat(s)]])=0,"",REVEX!$E$9)</f>
        <v/>
      </c>
      <c r="AH455" s="73" t="str">
        <f>IF(SalCommune[[#This Row],[Allocations fonctions]]="","",IF(ISNA(VLOOKUP(SalCommune[[#This Row],[Allocations fonctions]],DROPDOWN[Dropdown82],1,FALSE))=TRUE,"&lt;-- Veuillez choisir l'allocation parmis la liste déroulante.",""))</f>
        <v/>
      </c>
    </row>
    <row r="456" spans="1:34" x14ac:dyDescent="0.25">
      <c r="A456" s="73" t="str">
        <f>IF(SalCommune[[#This Row],[Statut]]="","",IF(ISNA(VLOOKUP(SalCommune[[#This Row],[Statut]],'Grille communale'!$B$3:$B$5,1,FALSE))=TRUE,"Veuillez choisir le statut parmis la liste déroulante",""))</f>
        <v/>
      </c>
      <c r="B456" s="8"/>
      <c r="C456" s="8"/>
      <c r="D456" s="8"/>
      <c r="E456" s="21"/>
      <c r="F456" s="8"/>
      <c r="G456" s="8"/>
      <c r="H456" s="9"/>
      <c r="I456" s="9"/>
      <c r="J456" s="9"/>
      <c r="K456" s="10"/>
      <c r="L456" s="10"/>
      <c r="M456" s="9"/>
      <c r="N456" s="9"/>
      <c r="O456" s="9"/>
      <c r="P456"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56" s="9"/>
      <c r="R456" s="9"/>
      <c r="S456" s="38"/>
      <c r="T456" s="38"/>
      <c r="U456" s="38"/>
      <c r="V456" s="38"/>
      <c r="W456" s="38"/>
      <c r="X456" s="67" t="str">
        <f>IF(COUNTA(SalCommune[[#This Row],[N°]:[heures annuelles
selon contrat(s)]])=0,"",SalCommune[[#This Row],[Brut]]+SalCommune[[#This Row],[Autres Primes]]+SalCommune[[#This Row],[Part patronale]]-ABS(SalCommune[[#This Row],[Remboursement Mutualité]])-ABS(SalCommune[[#This Row],[Remboursement
Autres]]))</f>
        <v/>
      </c>
      <c r="Y456" s="38"/>
      <c r="Z456"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56" s="8"/>
      <c r="AB456" s="64"/>
      <c r="AC456"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56"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56" s="505"/>
      <c r="AF456" s="187"/>
      <c r="AG456" s="200" t="str">
        <f>IF(COUNTA(SalCommune[[#This Row],[N°]:[heures annuelles
selon contrat(s)]])=0,"",REVEX!$E$9)</f>
        <v/>
      </c>
      <c r="AH456" s="73" t="str">
        <f>IF(SalCommune[[#This Row],[Allocations fonctions]]="","",IF(ISNA(VLOOKUP(SalCommune[[#This Row],[Allocations fonctions]],DROPDOWN[Dropdown82],1,FALSE))=TRUE,"&lt;-- Veuillez choisir l'allocation parmis la liste déroulante.",""))</f>
        <v/>
      </c>
    </row>
    <row r="457" spans="1:34" x14ac:dyDescent="0.25">
      <c r="A457" s="73" t="str">
        <f>IF(SalCommune[[#This Row],[Statut]]="","",IF(ISNA(VLOOKUP(SalCommune[[#This Row],[Statut]],'Grille communale'!$B$3:$B$5,1,FALSE))=TRUE,"Veuillez choisir le statut parmis la liste déroulante",""))</f>
        <v/>
      </c>
      <c r="B457" s="8"/>
      <c r="C457" s="8"/>
      <c r="D457" s="8"/>
      <c r="E457" s="21"/>
      <c r="F457" s="8"/>
      <c r="G457" s="8"/>
      <c r="H457" s="9"/>
      <c r="I457" s="9"/>
      <c r="J457" s="9"/>
      <c r="K457" s="10"/>
      <c r="L457" s="10"/>
      <c r="M457" s="9"/>
      <c r="N457" s="9"/>
      <c r="O457" s="9"/>
      <c r="P457"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57" s="9"/>
      <c r="R457" s="9"/>
      <c r="S457" s="38"/>
      <c r="T457" s="38"/>
      <c r="U457" s="38"/>
      <c r="V457" s="38"/>
      <c r="W457" s="38"/>
      <c r="X457" s="67" t="str">
        <f>IF(COUNTA(SalCommune[[#This Row],[N°]:[heures annuelles
selon contrat(s)]])=0,"",SalCommune[[#This Row],[Brut]]+SalCommune[[#This Row],[Autres Primes]]+SalCommune[[#This Row],[Part patronale]]-ABS(SalCommune[[#This Row],[Remboursement Mutualité]])-ABS(SalCommune[[#This Row],[Remboursement
Autres]]))</f>
        <v/>
      </c>
      <c r="Y457" s="38"/>
      <c r="Z457"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57" s="8"/>
      <c r="AB457" s="64"/>
      <c r="AC457"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57"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57" s="505"/>
      <c r="AF457" s="187"/>
      <c r="AG457" s="200" t="str">
        <f>IF(COUNTA(SalCommune[[#This Row],[N°]:[heures annuelles
selon contrat(s)]])=0,"",REVEX!$E$9)</f>
        <v/>
      </c>
      <c r="AH457" s="73" t="str">
        <f>IF(SalCommune[[#This Row],[Allocations fonctions]]="","",IF(ISNA(VLOOKUP(SalCommune[[#This Row],[Allocations fonctions]],DROPDOWN[Dropdown82],1,FALSE))=TRUE,"&lt;-- Veuillez choisir l'allocation parmis la liste déroulante.",""))</f>
        <v/>
      </c>
    </row>
    <row r="458" spans="1:34" x14ac:dyDescent="0.25">
      <c r="A458" s="73" t="str">
        <f>IF(SalCommune[[#This Row],[Statut]]="","",IF(ISNA(VLOOKUP(SalCommune[[#This Row],[Statut]],'Grille communale'!$B$3:$B$5,1,FALSE))=TRUE,"Veuillez choisir le statut parmis la liste déroulante",""))</f>
        <v/>
      </c>
      <c r="B458" s="8"/>
      <c r="C458" s="8"/>
      <c r="D458" s="8"/>
      <c r="E458" s="21"/>
      <c r="F458" s="8"/>
      <c r="G458" s="8"/>
      <c r="H458" s="9"/>
      <c r="I458" s="9"/>
      <c r="J458" s="9"/>
      <c r="K458" s="10"/>
      <c r="L458" s="10"/>
      <c r="M458" s="9"/>
      <c r="N458" s="9"/>
      <c r="O458" s="9"/>
      <c r="P458"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58" s="9"/>
      <c r="R458" s="9"/>
      <c r="S458" s="38"/>
      <c r="T458" s="38"/>
      <c r="U458" s="38"/>
      <c r="V458" s="38"/>
      <c r="W458" s="38"/>
      <c r="X458" s="67" t="str">
        <f>IF(COUNTA(SalCommune[[#This Row],[N°]:[heures annuelles
selon contrat(s)]])=0,"",SalCommune[[#This Row],[Brut]]+SalCommune[[#This Row],[Autres Primes]]+SalCommune[[#This Row],[Part patronale]]-ABS(SalCommune[[#This Row],[Remboursement Mutualité]])-ABS(SalCommune[[#This Row],[Remboursement
Autres]]))</f>
        <v/>
      </c>
      <c r="Y458" s="38"/>
      <c r="Z458"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58" s="8"/>
      <c r="AB458" s="64"/>
      <c r="AC458"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58"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58" s="505"/>
      <c r="AF458" s="187"/>
      <c r="AG458" s="200" t="str">
        <f>IF(COUNTA(SalCommune[[#This Row],[N°]:[heures annuelles
selon contrat(s)]])=0,"",REVEX!$E$9)</f>
        <v/>
      </c>
      <c r="AH458" s="73" t="str">
        <f>IF(SalCommune[[#This Row],[Allocations fonctions]]="","",IF(ISNA(VLOOKUP(SalCommune[[#This Row],[Allocations fonctions]],DROPDOWN[Dropdown82],1,FALSE))=TRUE,"&lt;-- Veuillez choisir l'allocation parmis la liste déroulante.",""))</f>
        <v/>
      </c>
    </row>
    <row r="459" spans="1:34" x14ac:dyDescent="0.25">
      <c r="A459" s="73" t="str">
        <f>IF(SalCommune[[#This Row],[Statut]]="","",IF(ISNA(VLOOKUP(SalCommune[[#This Row],[Statut]],'Grille communale'!$B$3:$B$5,1,FALSE))=TRUE,"Veuillez choisir le statut parmis la liste déroulante",""))</f>
        <v/>
      </c>
      <c r="B459" s="8"/>
      <c r="C459" s="8"/>
      <c r="D459" s="8"/>
      <c r="E459" s="21"/>
      <c r="F459" s="8"/>
      <c r="G459" s="8"/>
      <c r="H459" s="9"/>
      <c r="I459" s="9"/>
      <c r="J459" s="9"/>
      <c r="K459" s="10"/>
      <c r="L459" s="10"/>
      <c r="M459" s="9"/>
      <c r="N459" s="9"/>
      <c r="O459" s="9"/>
      <c r="P459"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59" s="9"/>
      <c r="R459" s="9"/>
      <c r="S459" s="38"/>
      <c r="T459" s="38"/>
      <c r="U459" s="38"/>
      <c r="V459" s="38"/>
      <c r="W459" s="38"/>
      <c r="X459" s="67" t="str">
        <f>IF(COUNTA(SalCommune[[#This Row],[N°]:[heures annuelles
selon contrat(s)]])=0,"",SalCommune[[#This Row],[Brut]]+SalCommune[[#This Row],[Autres Primes]]+SalCommune[[#This Row],[Part patronale]]-ABS(SalCommune[[#This Row],[Remboursement Mutualité]])-ABS(SalCommune[[#This Row],[Remboursement
Autres]]))</f>
        <v/>
      </c>
      <c r="Y459" s="38"/>
      <c r="Z459"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59" s="8"/>
      <c r="AB459" s="64"/>
      <c r="AC459"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59"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59" s="505"/>
      <c r="AF459" s="187"/>
      <c r="AG459" s="200" t="str">
        <f>IF(COUNTA(SalCommune[[#This Row],[N°]:[heures annuelles
selon contrat(s)]])=0,"",REVEX!$E$9)</f>
        <v/>
      </c>
      <c r="AH459" s="73" t="str">
        <f>IF(SalCommune[[#This Row],[Allocations fonctions]]="","",IF(ISNA(VLOOKUP(SalCommune[[#This Row],[Allocations fonctions]],DROPDOWN[Dropdown82],1,FALSE))=TRUE,"&lt;-- Veuillez choisir l'allocation parmis la liste déroulante.",""))</f>
        <v/>
      </c>
    </row>
    <row r="460" spans="1:34" x14ac:dyDescent="0.25">
      <c r="A460" s="73" t="str">
        <f>IF(SalCommune[[#This Row],[Statut]]="","",IF(ISNA(VLOOKUP(SalCommune[[#This Row],[Statut]],'Grille communale'!$B$3:$B$5,1,FALSE))=TRUE,"Veuillez choisir le statut parmis la liste déroulante",""))</f>
        <v/>
      </c>
      <c r="B460" s="8"/>
      <c r="C460" s="8"/>
      <c r="D460" s="8"/>
      <c r="E460" s="21"/>
      <c r="F460" s="8"/>
      <c r="G460" s="8"/>
      <c r="H460" s="9"/>
      <c r="I460" s="9"/>
      <c r="J460" s="9"/>
      <c r="K460" s="10"/>
      <c r="L460" s="10"/>
      <c r="M460" s="9"/>
      <c r="N460" s="9"/>
      <c r="O460" s="9"/>
      <c r="P460"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60" s="9"/>
      <c r="R460" s="9"/>
      <c r="S460" s="38"/>
      <c r="T460" s="38"/>
      <c r="U460" s="38"/>
      <c r="V460" s="38"/>
      <c r="W460" s="38"/>
      <c r="X460" s="67" t="str">
        <f>IF(COUNTA(SalCommune[[#This Row],[N°]:[heures annuelles
selon contrat(s)]])=0,"",SalCommune[[#This Row],[Brut]]+SalCommune[[#This Row],[Autres Primes]]+SalCommune[[#This Row],[Part patronale]]-ABS(SalCommune[[#This Row],[Remboursement Mutualité]])-ABS(SalCommune[[#This Row],[Remboursement
Autres]]))</f>
        <v/>
      </c>
      <c r="Y460" s="38"/>
      <c r="Z460"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60" s="8"/>
      <c r="AB460" s="64"/>
      <c r="AC460"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60"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60" s="505"/>
      <c r="AF460" s="187"/>
      <c r="AG460" s="200" t="str">
        <f>IF(COUNTA(SalCommune[[#This Row],[N°]:[heures annuelles
selon contrat(s)]])=0,"",REVEX!$E$9)</f>
        <v/>
      </c>
      <c r="AH460" s="73" t="str">
        <f>IF(SalCommune[[#This Row],[Allocations fonctions]]="","",IF(ISNA(VLOOKUP(SalCommune[[#This Row],[Allocations fonctions]],DROPDOWN[Dropdown82],1,FALSE))=TRUE,"&lt;-- Veuillez choisir l'allocation parmis la liste déroulante.",""))</f>
        <v/>
      </c>
    </row>
    <row r="461" spans="1:34" x14ac:dyDescent="0.25">
      <c r="A461" s="73" t="str">
        <f>IF(SalCommune[[#This Row],[Statut]]="","",IF(ISNA(VLOOKUP(SalCommune[[#This Row],[Statut]],'Grille communale'!$B$3:$B$5,1,FALSE))=TRUE,"Veuillez choisir le statut parmis la liste déroulante",""))</f>
        <v/>
      </c>
      <c r="B461" s="8"/>
      <c r="C461" s="8"/>
      <c r="D461" s="8"/>
      <c r="E461" s="21"/>
      <c r="F461" s="8"/>
      <c r="G461" s="8"/>
      <c r="H461" s="9"/>
      <c r="I461" s="9"/>
      <c r="J461" s="9"/>
      <c r="K461" s="10"/>
      <c r="L461" s="10"/>
      <c r="M461" s="9"/>
      <c r="N461" s="9"/>
      <c r="O461" s="9"/>
      <c r="P461"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61" s="9"/>
      <c r="R461" s="9"/>
      <c r="S461" s="38"/>
      <c r="T461" s="38"/>
      <c r="U461" s="38"/>
      <c r="V461" s="38"/>
      <c r="W461" s="38"/>
      <c r="X461" s="67" t="str">
        <f>IF(COUNTA(SalCommune[[#This Row],[N°]:[heures annuelles
selon contrat(s)]])=0,"",SalCommune[[#This Row],[Brut]]+SalCommune[[#This Row],[Autres Primes]]+SalCommune[[#This Row],[Part patronale]]-ABS(SalCommune[[#This Row],[Remboursement Mutualité]])-ABS(SalCommune[[#This Row],[Remboursement
Autres]]))</f>
        <v/>
      </c>
      <c r="Y461" s="38"/>
      <c r="Z461"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61" s="8"/>
      <c r="AB461" s="64"/>
      <c r="AC461"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61"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61" s="505"/>
      <c r="AF461" s="187"/>
      <c r="AG461" s="200" t="str">
        <f>IF(COUNTA(SalCommune[[#This Row],[N°]:[heures annuelles
selon contrat(s)]])=0,"",REVEX!$E$9)</f>
        <v/>
      </c>
      <c r="AH461" s="73" t="str">
        <f>IF(SalCommune[[#This Row],[Allocations fonctions]]="","",IF(ISNA(VLOOKUP(SalCommune[[#This Row],[Allocations fonctions]],DROPDOWN[Dropdown82],1,FALSE))=TRUE,"&lt;-- Veuillez choisir l'allocation parmis la liste déroulante.",""))</f>
        <v/>
      </c>
    </row>
    <row r="462" spans="1:34" x14ac:dyDescent="0.25">
      <c r="A462" s="73" t="str">
        <f>IF(SalCommune[[#This Row],[Statut]]="","",IF(ISNA(VLOOKUP(SalCommune[[#This Row],[Statut]],'Grille communale'!$B$3:$B$5,1,FALSE))=TRUE,"Veuillez choisir le statut parmis la liste déroulante",""))</f>
        <v/>
      </c>
      <c r="B462" s="8"/>
      <c r="C462" s="8"/>
      <c r="D462" s="8"/>
      <c r="E462" s="21"/>
      <c r="F462" s="8"/>
      <c r="G462" s="8"/>
      <c r="H462" s="9"/>
      <c r="I462" s="9"/>
      <c r="J462" s="9"/>
      <c r="K462" s="10"/>
      <c r="L462" s="10"/>
      <c r="M462" s="9"/>
      <c r="N462" s="9"/>
      <c r="O462" s="9"/>
      <c r="P462"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62" s="9"/>
      <c r="R462" s="9"/>
      <c r="S462" s="38"/>
      <c r="T462" s="38"/>
      <c r="U462" s="38"/>
      <c r="V462" s="38"/>
      <c r="W462" s="38"/>
      <c r="X462" s="67" t="str">
        <f>IF(COUNTA(SalCommune[[#This Row],[N°]:[heures annuelles
selon contrat(s)]])=0,"",SalCommune[[#This Row],[Brut]]+SalCommune[[#This Row],[Autres Primes]]+SalCommune[[#This Row],[Part patronale]]-ABS(SalCommune[[#This Row],[Remboursement Mutualité]])-ABS(SalCommune[[#This Row],[Remboursement
Autres]]))</f>
        <v/>
      </c>
      <c r="Y462" s="38"/>
      <c r="Z462"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62" s="8"/>
      <c r="AB462" s="64"/>
      <c r="AC462"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62"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62" s="505"/>
      <c r="AF462" s="187"/>
      <c r="AG462" s="200" t="str">
        <f>IF(COUNTA(SalCommune[[#This Row],[N°]:[heures annuelles
selon contrat(s)]])=0,"",REVEX!$E$9)</f>
        <v/>
      </c>
      <c r="AH462" s="73" t="str">
        <f>IF(SalCommune[[#This Row],[Allocations fonctions]]="","",IF(ISNA(VLOOKUP(SalCommune[[#This Row],[Allocations fonctions]],DROPDOWN[Dropdown82],1,FALSE))=TRUE,"&lt;-- Veuillez choisir l'allocation parmis la liste déroulante.",""))</f>
        <v/>
      </c>
    </row>
    <row r="463" spans="1:34" x14ac:dyDescent="0.25">
      <c r="A463" s="73" t="str">
        <f>IF(SalCommune[[#This Row],[Statut]]="","",IF(ISNA(VLOOKUP(SalCommune[[#This Row],[Statut]],'Grille communale'!$B$3:$B$5,1,FALSE))=TRUE,"Veuillez choisir le statut parmis la liste déroulante",""))</f>
        <v/>
      </c>
      <c r="B463" s="8"/>
      <c r="C463" s="8"/>
      <c r="D463" s="8"/>
      <c r="E463" s="21"/>
      <c r="F463" s="8"/>
      <c r="G463" s="8"/>
      <c r="H463" s="9"/>
      <c r="I463" s="9"/>
      <c r="J463" s="9"/>
      <c r="K463" s="10"/>
      <c r="L463" s="10"/>
      <c r="M463" s="9"/>
      <c r="N463" s="9"/>
      <c r="O463" s="9"/>
      <c r="P463"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63" s="9"/>
      <c r="R463" s="9"/>
      <c r="S463" s="38"/>
      <c r="T463" s="38"/>
      <c r="U463" s="38"/>
      <c r="V463" s="38"/>
      <c r="W463" s="38"/>
      <c r="X463" s="67" t="str">
        <f>IF(COUNTA(SalCommune[[#This Row],[N°]:[heures annuelles
selon contrat(s)]])=0,"",SalCommune[[#This Row],[Brut]]+SalCommune[[#This Row],[Autres Primes]]+SalCommune[[#This Row],[Part patronale]]-ABS(SalCommune[[#This Row],[Remboursement Mutualité]])-ABS(SalCommune[[#This Row],[Remboursement
Autres]]))</f>
        <v/>
      </c>
      <c r="Y463" s="38"/>
      <c r="Z463"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63" s="8"/>
      <c r="AB463" s="64"/>
      <c r="AC463"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63"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63" s="505"/>
      <c r="AF463" s="187"/>
      <c r="AG463" s="200" t="str">
        <f>IF(COUNTA(SalCommune[[#This Row],[N°]:[heures annuelles
selon contrat(s)]])=0,"",REVEX!$E$9)</f>
        <v/>
      </c>
      <c r="AH463" s="73" t="str">
        <f>IF(SalCommune[[#This Row],[Allocations fonctions]]="","",IF(ISNA(VLOOKUP(SalCommune[[#This Row],[Allocations fonctions]],DROPDOWN[Dropdown82],1,FALSE))=TRUE,"&lt;-- Veuillez choisir l'allocation parmis la liste déroulante.",""))</f>
        <v/>
      </c>
    </row>
    <row r="464" spans="1:34" x14ac:dyDescent="0.25">
      <c r="A464" s="73" t="str">
        <f>IF(SalCommune[[#This Row],[Statut]]="","",IF(ISNA(VLOOKUP(SalCommune[[#This Row],[Statut]],'Grille communale'!$B$3:$B$5,1,FALSE))=TRUE,"Veuillez choisir le statut parmis la liste déroulante",""))</f>
        <v/>
      </c>
      <c r="B464" s="8"/>
      <c r="C464" s="8"/>
      <c r="D464" s="8"/>
      <c r="E464" s="21"/>
      <c r="F464" s="8"/>
      <c r="G464" s="8"/>
      <c r="H464" s="9"/>
      <c r="I464" s="9"/>
      <c r="J464" s="9"/>
      <c r="K464" s="10"/>
      <c r="L464" s="10"/>
      <c r="M464" s="9"/>
      <c r="N464" s="9"/>
      <c r="O464" s="9"/>
      <c r="P464"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64" s="9"/>
      <c r="R464" s="9"/>
      <c r="S464" s="38"/>
      <c r="T464" s="38"/>
      <c r="U464" s="38"/>
      <c r="V464" s="38"/>
      <c r="W464" s="38"/>
      <c r="X464" s="67" t="str">
        <f>IF(COUNTA(SalCommune[[#This Row],[N°]:[heures annuelles
selon contrat(s)]])=0,"",SalCommune[[#This Row],[Brut]]+SalCommune[[#This Row],[Autres Primes]]+SalCommune[[#This Row],[Part patronale]]-ABS(SalCommune[[#This Row],[Remboursement Mutualité]])-ABS(SalCommune[[#This Row],[Remboursement
Autres]]))</f>
        <v/>
      </c>
      <c r="Y464" s="38"/>
      <c r="Z464"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64" s="8"/>
      <c r="AB464" s="64"/>
      <c r="AC464"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64"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64" s="505"/>
      <c r="AF464" s="187"/>
      <c r="AG464" s="200" t="str">
        <f>IF(COUNTA(SalCommune[[#This Row],[N°]:[heures annuelles
selon contrat(s)]])=0,"",REVEX!$E$9)</f>
        <v/>
      </c>
      <c r="AH464" s="73" t="str">
        <f>IF(SalCommune[[#This Row],[Allocations fonctions]]="","",IF(ISNA(VLOOKUP(SalCommune[[#This Row],[Allocations fonctions]],DROPDOWN[Dropdown82],1,FALSE))=TRUE,"&lt;-- Veuillez choisir l'allocation parmis la liste déroulante.",""))</f>
        <v/>
      </c>
    </row>
    <row r="465" spans="1:34" x14ac:dyDescent="0.25">
      <c r="A465" s="73" t="str">
        <f>IF(SalCommune[[#This Row],[Statut]]="","",IF(ISNA(VLOOKUP(SalCommune[[#This Row],[Statut]],'Grille communale'!$B$3:$B$5,1,FALSE))=TRUE,"Veuillez choisir le statut parmis la liste déroulante",""))</f>
        <v/>
      </c>
      <c r="B465" s="8"/>
      <c r="C465" s="8"/>
      <c r="D465" s="8"/>
      <c r="E465" s="21"/>
      <c r="F465" s="8"/>
      <c r="G465" s="8"/>
      <c r="H465" s="9"/>
      <c r="I465" s="9"/>
      <c r="J465" s="9"/>
      <c r="K465" s="10"/>
      <c r="L465" s="10"/>
      <c r="M465" s="9"/>
      <c r="N465" s="9"/>
      <c r="O465" s="9"/>
      <c r="P465"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65" s="9"/>
      <c r="R465" s="9"/>
      <c r="S465" s="38"/>
      <c r="T465" s="38"/>
      <c r="U465" s="38"/>
      <c r="V465" s="38"/>
      <c r="W465" s="38"/>
      <c r="X465" s="67" t="str">
        <f>IF(COUNTA(SalCommune[[#This Row],[N°]:[heures annuelles
selon contrat(s)]])=0,"",SalCommune[[#This Row],[Brut]]+SalCommune[[#This Row],[Autres Primes]]+SalCommune[[#This Row],[Part patronale]]-ABS(SalCommune[[#This Row],[Remboursement Mutualité]])-ABS(SalCommune[[#This Row],[Remboursement
Autres]]))</f>
        <v/>
      </c>
      <c r="Y465" s="38"/>
      <c r="Z465"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65" s="8"/>
      <c r="AB465" s="64"/>
      <c r="AC465"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65"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65" s="505"/>
      <c r="AF465" s="187"/>
      <c r="AG465" s="200" t="str">
        <f>IF(COUNTA(SalCommune[[#This Row],[N°]:[heures annuelles
selon contrat(s)]])=0,"",REVEX!$E$9)</f>
        <v/>
      </c>
      <c r="AH465" s="73" t="str">
        <f>IF(SalCommune[[#This Row],[Allocations fonctions]]="","",IF(ISNA(VLOOKUP(SalCommune[[#This Row],[Allocations fonctions]],DROPDOWN[Dropdown82],1,FALSE))=TRUE,"&lt;-- Veuillez choisir l'allocation parmis la liste déroulante.",""))</f>
        <v/>
      </c>
    </row>
    <row r="466" spans="1:34" x14ac:dyDescent="0.25">
      <c r="A466" s="73" t="str">
        <f>IF(SalCommune[[#This Row],[Statut]]="","",IF(ISNA(VLOOKUP(SalCommune[[#This Row],[Statut]],'Grille communale'!$B$3:$B$5,1,FALSE))=TRUE,"Veuillez choisir le statut parmis la liste déroulante",""))</f>
        <v/>
      </c>
      <c r="B466" s="8"/>
      <c r="C466" s="8"/>
      <c r="D466" s="8"/>
      <c r="E466" s="21"/>
      <c r="F466" s="8"/>
      <c r="G466" s="8"/>
      <c r="H466" s="9"/>
      <c r="I466" s="9"/>
      <c r="J466" s="9"/>
      <c r="K466" s="10"/>
      <c r="L466" s="10"/>
      <c r="M466" s="9"/>
      <c r="N466" s="9"/>
      <c r="O466" s="9"/>
      <c r="P466"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66" s="9"/>
      <c r="R466" s="9"/>
      <c r="S466" s="38"/>
      <c r="T466" s="38"/>
      <c r="U466" s="38"/>
      <c r="V466" s="38"/>
      <c r="W466" s="38"/>
      <c r="X466" s="67" t="str">
        <f>IF(COUNTA(SalCommune[[#This Row],[N°]:[heures annuelles
selon contrat(s)]])=0,"",SalCommune[[#This Row],[Brut]]+SalCommune[[#This Row],[Autres Primes]]+SalCommune[[#This Row],[Part patronale]]-ABS(SalCommune[[#This Row],[Remboursement Mutualité]])-ABS(SalCommune[[#This Row],[Remboursement
Autres]]))</f>
        <v/>
      </c>
      <c r="Y466" s="38"/>
      <c r="Z466"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66" s="8"/>
      <c r="AB466" s="64"/>
      <c r="AC466"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66"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66" s="505"/>
      <c r="AF466" s="187"/>
      <c r="AG466" s="200" t="str">
        <f>IF(COUNTA(SalCommune[[#This Row],[N°]:[heures annuelles
selon contrat(s)]])=0,"",REVEX!$E$9)</f>
        <v/>
      </c>
      <c r="AH466" s="73" t="str">
        <f>IF(SalCommune[[#This Row],[Allocations fonctions]]="","",IF(ISNA(VLOOKUP(SalCommune[[#This Row],[Allocations fonctions]],DROPDOWN[Dropdown82],1,FALSE))=TRUE,"&lt;-- Veuillez choisir l'allocation parmis la liste déroulante.",""))</f>
        <v/>
      </c>
    </row>
    <row r="467" spans="1:34" x14ac:dyDescent="0.25">
      <c r="A467" s="73" t="str">
        <f>IF(SalCommune[[#This Row],[Statut]]="","",IF(ISNA(VLOOKUP(SalCommune[[#This Row],[Statut]],'Grille communale'!$B$3:$B$5,1,FALSE))=TRUE,"Veuillez choisir le statut parmis la liste déroulante",""))</f>
        <v/>
      </c>
      <c r="B467" s="8"/>
      <c r="C467" s="8"/>
      <c r="D467" s="8"/>
      <c r="E467" s="21"/>
      <c r="F467" s="8"/>
      <c r="G467" s="8"/>
      <c r="H467" s="9"/>
      <c r="I467" s="9"/>
      <c r="J467" s="9"/>
      <c r="K467" s="10"/>
      <c r="L467" s="10"/>
      <c r="M467" s="9"/>
      <c r="N467" s="9"/>
      <c r="O467" s="9"/>
      <c r="P467"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67" s="9"/>
      <c r="R467" s="9"/>
      <c r="S467" s="38"/>
      <c r="T467" s="38"/>
      <c r="U467" s="38"/>
      <c r="V467" s="38"/>
      <c r="W467" s="38"/>
      <c r="X467" s="67" t="str">
        <f>IF(COUNTA(SalCommune[[#This Row],[N°]:[heures annuelles
selon contrat(s)]])=0,"",SalCommune[[#This Row],[Brut]]+SalCommune[[#This Row],[Autres Primes]]+SalCommune[[#This Row],[Part patronale]]-ABS(SalCommune[[#This Row],[Remboursement Mutualité]])-ABS(SalCommune[[#This Row],[Remboursement
Autres]]))</f>
        <v/>
      </c>
      <c r="Y467" s="38"/>
      <c r="Z467"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67" s="8"/>
      <c r="AB467" s="64"/>
      <c r="AC467"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67"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67" s="505"/>
      <c r="AF467" s="187"/>
      <c r="AG467" s="200" t="str">
        <f>IF(COUNTA(SalCommune[[#This Row],[N°]:[heures annuelles
selon contrat(s)]])=0,"",REVEX!$E$9)</f>
        <v/>
      </c>
      <c r="AH467" s="73" t="str">
        <f>IF(SalCommune[[#This Row],[Allocations fonctions]]="","",IF(ISNA(VLOOKUP(SalCommune[[#This Row],[Allocations fonctions]],DROPDOWN[Dropdown82],1,FALSE))=TRUE,"&lt;-- Veuillez choisir l'allocation parmis la liste déroulante.",""))</f>
        <v/>
      </c>
    </row>
    <row r="468" spans="1:34" x14ac:dyDescent="0.25">
      <c r="A468" s="73" t="str">
        <f>IF(SalCommune[[#This Row],[Statut]]="","",IF(ISNA(VLOOKUP(SalCommune[[#This Row],[Statut]],'Grille communale'!$B$3:$B$5,1,FALSE))=TRUE,"Veuillez choisir le statut parmis la liste déroulante",""))</f>
        <v/>
      </c>
      <c r="B468" s="8"/>
      <c r="C468" s="8"/>
      <c r="D468" s="8"/>
      <c r="E468" s="21"/>
      <c r="F468" s="8"/>
      <c r="G468" s="8"/>
      <c r="H468" s="9"/>
      <c r="I468" s="9"/>
      <c r="J468" s="9"/>
      <c r="K468" s="10"/>
      <c r="L468" s="10"/>
      <c r="M468" s="9"/>
      <c r="N468" s="9"/>
      <c r="O468" s="9"/>
      <c r="P468"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68" s="9"/>
      <c r="R468" s="9"/>
      <c r="S468" s="38"/>
      <c r="T468" s="38"/>
      <c r="U468" s="38"/>
      <c r="V468" s="38"/>
      <c r="W468" s="38"/>
      <c r="X468" s="67" t="str">
        <f>IF(COUNTA(SalCommune[[#This Row],[N°]:[heures annuelles
selon contrat(s)]])=0,"",SalCommune[[#This Row],[Brut]]+SalCommune[[#This Row],[Autres Primes]]+SalCommune[[#This Row],[Part patronale]]-ABS(SalCommune[[#This Row],[Remboursement Mutualité]])-ABS(SalCommune[[#This Row],[Remboursement
Autres]]))</f>
        <v/>
      </c>
      <c r="Y468" s="38"/>
      <c r="Z468"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68" s="8"/>
      <c r="AB468" s="64"/>
      <c r="AC468"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68"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68" s="505"/>
      <c r="AF468" s="187"/>
      <c r="AG468" s="200" t="str">
        <f>IF(COUNTA(SalCommune[[#This Row],[N°]:[heures annuelles
selon contrat(s)]])=0,"",REVEX!$E$9)</f>
        <v/>
      </c>
      <c r="AH468" s="73" t="str">
        <f>IF(SalCommune[[#This Row],[Allocations fonctions]]="","",IF(ISNA(VLOOKUP(SalCommune[[#This Row],[Allocations fonctions]],DROPDOWN[Dropdown82],1,FALSE))=TRUE,"&lt;-- Veuillez choisir l'allocation parmis la liste déroulante.",""))</f>
        <v/>
      </c>
    </row>
    <row r="469" spans="1:34" x14ac:dyDescent="0.25">
      <c r="A469" s="73" t="str">
        <f>IF(SalCommune[[#This Row],[Statut]]="","",IF(ISNA(VLOOKUP(SalCommune[[#This Row],[Statut]],'Grille communale'!$B$3:$B$5,1,FALSE))=TRUE,"Veuillez choisir le statut parmis la liste déroulante",""))</f>
        <v/>
      </c>
      <c r="B469" s="8"/>
      <c r="C469" s="8"/>
      <c r="D469" s="8"/>
      <c r="E469" s="21"/>
      <c r="F469" s="8"/>
      <c r="G469" s="8"/>
      <c r="H469" s="9"/>
      <c r="I469" s="9"/>
      <c r="J469" s="9"/>
      <c r="K469" s="10"/>
      <c r="L469" s="10"/>
      <c r="M469" s="9"/>
      <c r="N469" s="9"/>
      <c r="O469" s="9"/>
      <c r="P469"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69" s="9"/>
      <c r="R469" s="9"/>
      <c r="S469" s="38"/>
      <c r="T469" s="38"/>
      <c r="U469" s="38"/>
      <c r="V469" s="38"/>
      <c r="W469" s="38"/>
      <c r="X469" s="67" t="str">
        <f>IF(COUNTA(SalCommune[[#This Row],[N°]:[heures annuelles
selon contrat(s)]])=0,"",SalCommune[[#This Row],[Brut]]+SalCommune[[#This Row],[Autres Primes]]+SalCommune[[#This Row],[Part patronale]]-ABS(SalCommune[[#This Row],[Remboursement Mutualité]])-ABS(SalCommune[[#This Row],[Remboursement
Autres]]))</f>
        <v/>
      </c>
      <c r="Y469" s="38"/>
      <c r="Z469"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69" s="8"/>
      <c r="AB469" s="64"/>
      <c r="AC469"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69"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69" s="505"/>
      <c r="AF469" s="187"/>
      <c r="AG469" s="200" t="str">
        <f>IF(COUNTA(SalCommune[[#This Row],[N°]:[heures annuelles
selon contrat(s)]])=0,"",REVEX!$E$9)</f>
        <v/>
      </c>
      <c r="AH469" s="73" t="str">
        <f>IF(SalCommune[[#This Row],[Allocations fonctions]]="","",IF(ISNA(VLOOKUP(SalCommune[[#This Row],[Allocations fonctions]],DROPDOWN[Dropdown82],1,FALSE))=TRUE,"&lt;-- Veuillez choisir l'allocation parmis la liste déroulante.",""))</f>
        <v/>
      </c>
    </row>
    <row r="470" spans="1:34" x14ac:dyDescent="0.25">
      <c r="A470" s="73" t="str">
        <f>IF(SalCommune[[#This Row],[Statut]]="","",IF(ISNA(VLOOKUP(SalCommune[[#This Row],[Statut]],'Grille communale'!$B$3:$B$5,1,FALSE))=TRUE,"Veuillez choisir le statut parmis la liste déroulante",""))</f>
        <v/>
      </c>
      <c r="B470" s="8"/>
      <c r="C470" s="8"/>
      <c r="D470" s="8"/>
      <c r="E470" s="21"/>
      <c r="F470" s="8"/>
      <c r="G470" s="8"/>
      <c r="H470" s="9"/>
      <c r="I470" s="9"/>
      <c r="J470" s="9"/>
      <c r="K470" s="10"/>
      <c r="L470" s="10"/>
      <c r="M470" s="9"/>
      <c r="N470" s="9"/>
      <c r="O470" s="9"/>
      <c r="P470"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70" s="9"/>
      <c r="R470" s="9"/>
      <c r="S470" s="38"/>
      <c r="T470" s="38"/>
      <c r="U470" s="38"/>
      <c r="V470" s="38"/>
      <c r="W470" s="38"/>
      <c r="X470" s="67" t="str">
        <f>IF(COUNTA(SalCommune[[#This Row],[N°]:[heures annuelles
selon contrat(s)]])=0,"",SalCommune[[#This Row],[Brut]]+SalCommune[[#This Row],[Autres Primes]]+SalCommune[[#This Row],[Part patronale]]-ABS(SalCommune[[#This Row],[Remboursement Mutualité]])-ABS(SalCommune[[#This Row],[Remboursement
Autres]]))</f>
        <v/>
      </c>
      <c r="Y470" s="38"/>
      <c r="Z470"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70" s="8"/>
      <c r="AB470" s="64"/>
      <c r="AC470"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70"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70" s="505"/>
      <c r="AF470" s="187"/>
      <c r="AG470" s="200" t="str">
        <f>IF(COUNTA(SalCommune[[#This Row],[N°]:[heures annuelles
selon contrat(s)]])=0,"",REVEX!$E$9)</f>
        <v/>
      </c>
      <c r="AH470" s="73" t="str">
        <f>IF(SalCommune[[#This Row],[Allocations fonctions]]="","",IF(ISNA(VLOOKUP(SalCommune[[#This Row],[Allocations fonctions]],DROPDOWN[Dropdown82],1,FALSE))=TRUE,"&lt;-- Veuillez choisir l'allocation parmis la liste déroulante.",""))</f>
        <v/>
      </c>
    </row>
    <row r="471" spans="1:34" x14ac:dyDescent="0.25">
      <c r="A471" s="73" t="str">
        <f>IF(SalCommune[[#This Row],[Statut]]="","",IF(ISNA(VLOOKUP(SalCommune[[#This Row],[Statut]],'Grille communale'!$B$3:$B$5,1,FALSE))=TRUE,"Veuillez choisir le statut parmis la liste déroulante",""))</f>
        <v/>
      </c>
      <c r="B471" s="8"/>
      <c r="C471" s="8"/>
      <c r="D471" s="8"/>
      <c r="E471" s="21"/>
      <c r="F471" s="8"/>
      <c r="G471" s="8"/>
      <c r="H471" s="9"/>
      <c r="I471" s="9"/>
      <c r="J471" s="9"/>
      <c r="K471" s="10"/>
      <c r="L471" s="10"/>
      <c r="M471" s="9"/>
      <c r="N471" s="9"/>
      <c r="O471" s="9"/>
      <c r="P471"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71" s="9"/>
      <c r="R471" s="9"/>
      <c r="S471" s="38"/>
      <c r="T471" s="38"/>
      <c r="U471" s="38"/>
      <c r="V471" s="38"/>
      <c r="W471" s="38"/>
      <c r="X471" s="67" t="str">
        <f>IF(COUNTA(SalCommune[[#This Row],[N°]:[heures annuelles
selon contrat(s)]])=0,"",SalCommune[[#This Row],[Brut]]+SalCommune[[#This Row],[Autres Primes]]+SalCommune[[#This Row],[Part patronale]]-ABS(SalCommune[[#This Row],[Remboursement Mutualité]])-ABS(SalCommune[[#This Row],[Remboursement
Autres]]))</f>
        <v/>
      </c>
      <c r="Y471" s="38"/>
      <c r="Z471"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71" s="8"/>
      <c r="AB471" s="64"/>
      <c r="AC471"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71"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71" s="505"/>
      <c r="AF471" s="187"/>
      <c r="AG471" s="200" t="str">
        <f>IF(COUNTA(SalCommune[[#This Row],[N°]:[heures annuelles
selon contrat(s)]])=0,"",REVEX!$E$9)</f>
        <v/>
      </c>
      <c r="AH471" s="73" t="str">
        <f>IF(SalCommune[[#This Row],[Allocations fonctions]]="","",IF(ISNA(VLOOKUP(SalCommune[[#This Row],[Allocations fonctions]],DROPDOWN[Dropdown82],1,FALSE))=TRUE,"&lt;-- Veuillez choisir l'allocation parmis la liste déroulante.",""))</f>
        <v/>
      </c>
    </row>
    <row r="472" spans="1:34" x14ac:dyDescent="0.25">
      <c r="A472" s="73" t="str">
        <f>IF(SalCommune[[#This Row],[Statut]]="","",IF(ISNA(VLOOKUP(SalCommune[[#This Row],[Statut]],'Grille communale'!$B$3:$B$5,1,FALSE))=TRUE,"Veuillez choisir le statut parmis la liste déroulante",""))</f>
        <v/>
      </c>
      <c r="B472" s="8"/>
      <c r="C472" s="8"/>
      <c r="D472" s="8"/>
      <c r="E472" s="21"/>
      <c r="F472" s="8"/>
      <c r="G472" s="8"/>
      <c r="H472" s="9"/>
      <c r="I472" s="9"/>
      <c r="J472" s="9"/>
      <c r="K472" s="10"/>
      <c r="L472" s="10"/>
      <c r="M472" s="9"/>
      <c r="N472" s="9"/>
      <c r="O472" s="9"/>
      <c r="P472"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72" s="9"/>
      <c r="R472" s="9"/>
      <c r="S472" s="38"/>
      <c r="T472" s="38"/>
      <c r="U472" s="38"/>
      <c r="V472" s="38"/>
      <c r="W472" s="38"/>
      <c r="X472" s="67" t="str">
        <f>IF(COUNTA(SalCommune[[#This Row],[N°]:[heures annuelles
selon contrat(s)]])=0,"",SalCommune[[#This Row],[Brut]]+SalCommune[[#This Row],[Autres Primes]]+SalCommune[[#This Row],[Part patronale]]-ABS(SalCommune[[#This Row],[Remboursement Mutualité]])-ABS(SalCommune[[#This Row],[Remboursement
Autres]]))</f>
        <v/>
      </c>
      <c r="Y472" s="38"/>
      <c r="Z472"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72" s="8"/>
      <c r="AB472" s="64"/>
      <c r="AC472"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72"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72" s="505"/>
      <c r="AF472" s="187"/>
      <c r="AG472" s="200" t="str">
        <f>IF(COUNTA(SalCommune[[#This Row],[N°]:[heures annuelles
selon contrat(s)]])=0,"",REVEX!$E$9)</f>
        <v/>
      </c>
      <c r="AH472" s="73" t="str">
        <f>IF(SalCommune[[#This Row],[Allocations fonctions]]="","",IF(ISNA(VLOOKUP(SalCommune[[#This Row],[Allocations fonctions]],DROPDOWN[Dropdown82],1,FALSE))=TRUE,"&lt;-- Veuillez choisir l'allocation parmis la liste déroulante.",""))</f>
        <v/>
      </c>
    </row>
    <row r="473" spans="1:34" x14ac:dyDescent="0.25">
      <c r="A473" s="73" t="str">
        <f>IF(SalCommune[[#This Row],[Statut]]="","",IF(ISNA(VLOOKUP(SalCommune[[#This Row],[Statut]],'Grille communale'!$B$3:$B$5,1,FALSE))=TRUE,"Veuillez choisir le statut parmis la liste déroulante",""))</f>
        <v/>
      </c>
      <c r="B473" s="8"/>
      <c r="C473" s="8"/>
      <c r="D473" s="8"/>
      <c r="E473" s="21"/>
      <c r="F473" s="8"/>
      <c r="G473" s="8"/>
      <c r="H473" s="9"/>
      <c r="I473" s="9"/>
      <c r="J473" s="9"/>
      <c r="K473" s="10"/>
      <c r="L473" s="10"/>
      <c r="M473" s="9"/>
      <c r="N473" s="9"/>
      <c r="O473" s="9"/>
      <c r="P473"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73" s="9"/>
      <c r="R473" s="9"/>
      <c r="S473" s="38"/>
      <c r="T473" s="38"/>
      <c r="U473" s="38"/>
      <c r="V473" s="38"/>
      <c r="W473" s="38"/>
      <c r="X473" s="67" t="str">
        <f>IF(COUNTA(SalCommune[[#This Row],[N°]:[heures annuelles
selon contrat(s)]])=0,"",SalCommune[[#This Row],[Brut]]+SalCommune[[#This Row],[Autres Primes]]+SalCommune[[#This Row],[Part patronale]]-ABS(SalCommune[[#This Row],[Remboursement Mutualité]])-ABS(SalCommune[[#This Row],[Remboursement
Autres]]))</f>
        <v/>
      </c>
      <c r="Y473" s="38"/>
      <c r="Z473"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73" s="8"/>
      <c r="AB473" s="64"/>
      <c r="AC473"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73"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73" s="505"/>
      <c r="AF473" s="187"/>
      <c r="AG473" s="200" t="str">
        <f>IF(COUNTA(SalCommune[[#This Row],[N°]:[heures annuelles
selon contrat(s)]])=0,"",REVEX!$E$9)</f>
        <v/>
      </c>
      <c r="AH473" s="73" t="str">
        <f>IF(SalCommune[[#This Row],[Allocations fonctions]]="","",IF(ISNA(VLOOKUP(SalCommune[[#This Row],[Allocations fonctions]],DROPDOWN[Dropdown82],1,FALSE))=TRUE,"&lt;-- Veuillez choisir l'allocation parmis la liste déroulante.",""))</f>
        <v/>
      </c>
    </row>
    <row r="474" spans="1:34" x14ac:dyDescent="0.25">
      <c r="A474" s="73" t="str">
        <f>IF(SalCommune[[#This Row],[Statut]]="","",IF(ISNA(VLOOKUP(SalCommune[[#This Row],[Statut]],'Grille communale'!$B$3:$B$5,1,FALSE))=TRUE,"Veuillez choisir le statut parmis la liste déroulante",""))</f>
        <v/>
      </c>
      <c r="B474" s="8"/>
      <c r="C474" s="8"/>
      <c r="D474" s="8"/>
      <c r="E474" s="21"/>
      <c r="F474" s="8"/>
      <c r="G474" s="8"/>
      <c r="H474" s="9"/>
      <c r="I474" s="9"/>
      <c r="J474" s="9"/>
      <c r="K474" s="10"/>
      <c r="L474" s="10"/>
      <c r="M474" s="9"/>
      <c r="N474" s="9"/>
      <c r="O474" s="9"/>
      <c r="P474"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74" s="9"/>
      <c r="R474" s="9"/>
      <c r="S474" s="38"/>
      <c r="T474" s="38"/>
      <c r="U474" s="38"/>
      <c r="V474" s="38"/>
      <c r="W474" s="38"/>
      <c r="X474" s="67" t="str">
        <f>IF(COUNTA(SalCommune[[#This Row],[N°]:[heures annuelles
selon contrat(s)]])=0,"",SalCommune[[#This Row],[Brut]]+SalCommune[[#This Row],[Autres Primes]]+SalCommune[[#This Row],[Part patronale]]-ABS(SalCommune[[#This Row],[Remboursement Mutualité]])-ABS(SalCommune[[#This Row],[Remboursement
Autres]]))</f>
        <v/>
      </c>
      <c r="Y474" s="38"/>
      <c r="Z474"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74" s="8"/>
      <c r="AB474" s="64"/>
      <c r="AC474"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74"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74" s="505"/>
      <c r="AF474" s="187"/>
      <c r="AG474" s="200" t="str">
        <f>IF(COUNTA(SalCommune[[#This Row],[N°]:[heures annuelles
selon contrat(s)]])=0,"",REVEX!$E$9)</f>
        <v/>
      </c>
      <c r="AH474" s="73" t="str">
        <f>IF(SalCommune[[#This Row],[Allocations fonctions]]="","",IF(ISNA(VLOOKUP(SalCommune[[#This Row],[Allocations fonctions]],DROPDOWN[Dropdown82],1,FALSE))=TRUE,"&lt;-- Veuillez choisir l'allocation parmis la liste déroulante.",""))</f>
        <v/>
      </c>
    </row>
    <row r="475" spans="1:34" x14ac:dyDescent="0.25">
      <c r="A475" s="73" t="str">
        <f>IF(SalCommune[[#This Row],[Statut]]="","",IF(ISNA(VLOOKUP(SalCommune[[#This Row],[Statut]],'Grille communale'!$B$3:$B$5,1,FALSE))=TRUE,"Veuillez choisir le statut parmis la liste déroulante",""))</f>
        <v/>
      </c>
      <c r="B475" s="8"/>
      <c r="C475" s="8"/>
      <c r="D475" s="8"/>
      <c r="E475" s="21"/>
      <c r="F475" s="8"/>
      <c r="G475" s="8"/>
      <c r="H475" s="9"/>
      <c r="I475" s="9"/>
      <c r="J475" s="9"/>
      <c r="K475" s="10"/>
      <c r="L475" s="10"/>
      <c r="M475" s="9"/>
      <c r="N475" s="9"/>
      <c r="O475" s="9"/>
      <c r="P475"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75" s="9"/>
      <c r="R475" s="9"/>
      <c r="S475" s="38"/>
      <c r="T475" s="38"/>
      <c r="U475" s="38"/>
      <c r="V475" s="38"/>
      <c r="W475" s="38"/>
      <c r="X475" s="67" t="str">
        <f>IF(COUNTA(SalCommune[[#This Row],[N°]:[heures annuelles
selon contrat(s)]])=0,"",SalCommune[[#This Row],[Brut]]+SalCommune[[#This Row],[Autres Primes]]+SalCommune[[#This Row],[Part patronale]]-ABS(SalCommune[[#This Row],[Remboursement Mutualité]])-ABS(SalCommune[[#This Row],[Remboursement
Autres]]))</f>
        <v/>
      </c>
      <c r="Y475" s="38"/>
      <c r="Z475"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75" s="8"/>
      <c r="AB475" s="64"/>
      <c r="AC475"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75"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75" s="505"/>
      <c r="AF475" s="187"/>
      <c r="AG475" s="200" t="str">
        <f>IF(COUNTA(SalCommune[[#This Row],[N°]:[heures annuelles
selon contrat(s)]])=0,"",REVEX!$E$9)</f>
        <v/>
      </c>
      <c r="AH475" s="73" t="str">
        <f>IF(SalCommune[[#This Row],[Allocations fonctions]]="","",IF(ISNA(VLOOKUP(SalCommune[[#This Row],[Allocations fonctions]],DROPDOWN[Dropdown82],1,FALSE))=TRUE,"&lt;-- Veuillez choisir l'allocation parmis la liste déroulante.",""))</f>
        <v/>
      </c>
    </row>
    <row r="476" spans="1:34" x14ac:dyDescent="0.25">
      <c r="A476" s="73" t="str">
        <f>IF(SalCommune[[#This Row],[Statut]]="","",IF(ISNA(VLOOKUP(SalCommune[[#This Row],[Statut]],'Grille communale'!$B$3:$B$5,1,FALSE))=TRUE,"Veuillez choisir le statut parmis la liste déroulante",""))</f>
        <v/>
      </c>
      <c r="B476" s="8"/>
      <c r="C476" s="8"/>
      <c r="D476" s="8"/>
      <c r="E476" s="21"/>
      <c r="F476" s="8"/>
      <c r="G476" s="8"/>
      <c r="H476" s="9"/>
      <c r="I476" s="9"/>
      <c r="J476" s="9"/>
      <c r="K476" s="10"/>
      <c r="L476" s="10"/>
      <c r="M476" s="9"/>
      <c r="N476" s="9"/>
      <c r="O476" s="9"/>
      <c r="P476"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76" s="9"/>
      <c r="R476" s="9"/>
      <c r="S476" s="38"/>
      <c r="T476" s="38"/>
      <c r="U476" s="38"/>
      <c r="V476" s="38"/>
      <c r="W476" s="38"/>
      <c r="X476" s="67" t="str">
        <f>IF(COUNTA(SalCommune[[#This Row],[N°]:[heures annuelles
selon contrat(s)]])=0,"",SalCommune[[#This Row],[Brut]]+SalCommune[[#This Row],[Autres Primes]]+SalCommune[[#This Row],[Part patronale]]-ABS(SalCommune[[#This Row],[Remboursement Mutualité]])-ABS(SalCommune[[#This Row],[Remboursement
Autres]]))</f>
        <v/>
      </c>
      <c r="Y476" s="38"/>
      <c r="Z476"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76" s="8"/>
      <c r="AB476" s="64"/>
      <c r="AC476"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76"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76" s="505"/>
      <c r="AF476" s="187"/>
      <c r="AG476" s="200" t="str">
        <f>IF(COUNTA(SalCommune[[#This Row],[N°]:[heures annuelles
selon contrat(s)]])=0,"",REVEX!$E$9)</f>
        <v/>
      </c>
      <c r="AH476" s="73" t="str">
        <f>IF(SalCommune[[#This Row],[Allocations fonctions]]="","",IF(ISNA(VLOOKUP(SalCommune[[#This Row],[Allocations fonctions]],DROPDOWN[Dropdown82],1,FALSE))=TRUE,"&lt;-- Veuillez choisir l'allocation parmis la liste déroulante.",""))</f>
        <v/>
      </c>
    </row>
    <row r="477" spans="1:34" x14ac:dyDescent="0.25">
      <c r="A477" s="73" t="str">
        <f>IF(SalCommune[[#This Row],[Statut]]="","",IF(ISNA(VLOOKUP(SalCommune[[#This Row],[Statut]],'Grille communale'!$B$3:$B$5,1,FALSE))=TRUE,"Veuillez choisir le statut parmis la liste déroulante",""))</f>
        <v/>
      </c>
      <c r="B477" s="8"/>
      <c r="C477" s="8"/>
      <c r="D477" s="8"/>
      <c r="E477" s="21"/>
      <c r="F477" s="8"/>
      <c r="G477" s="8"/>
      <c r="H477" s="9"/>
      <c r="I477" s="9"/>
      <c r="J477" s="9"/>
      <c r="K477" s="10"/>
      <c r="L477" s="10"/>
      <c r="M477" s="9"/>
      <c r="N477" s="9"/>
      <c r="O477" s="9"/>
      <c r="P477"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77" s="9"/>
      <c r="R477" s="9"/>
      <c r="S477" s="38"/>
      <c r="T477" s="38"/>
      <c r="U477" s="38"/>
      <c r="V477" s="38"/>
      <c r="W477" s="38"/>
      <c r="X477" s="67" t="str">
        <f>IF(COUNTA(SalCommune[[#This Row],[N°]:[heures annuelles
selon contrat(s)]])=0,"",SalCommune[[#This Row],[Brut]]+SalCommune[[#This Row],[Autres Primes]]+SalCommune[[#This Row],[Part patronale]]-ABS(SalCommune[[#This Row],[Remboursement Mutualité]])-ABS(SalCommune[[#This Row],[Remboursement
Autres]]))</f>
        <v/>
      </c>
      <c r="Y477" s="38"/>
      <c r="Z477"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77" s="8"/>
      <c r="AB477" s="64"/>
      <c r="AC477"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77"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77" s="505"/>
      <c r="AF477" s="187"/>
      <c r="AG477" s="200" t="str">
        <f>IF(COUNTA(SalCommune[[#This Row],[N°]:[heures annuelles
selon contrat(s)]])=0,"",REVEX!$E$9)</f>
        <v/>
      </c>
      <c r="AH477" s="73" t="str">
        <f>IF(SalCommune[[#This Row],[Allocations fonctions]]="","",IF(ISNA(VLOOKUP(SalCommune[[#This Row],[Allocations fonctions]],DROPDOWN[Dropdown82],1,FALSE))=TRUE,"&lt;-- Veuillez choisir l'allocation parmis la liste déroulante.",""))</f>
        <v/>
      </c>
    </row>
    <row r="478" spans="1:34" x14ac:dyDescent="0.25">
      <c r="A478" s="73" t="str">
        <f>IF(SalCommune[[#This Row],[Statut]]="","",IF(ISNA(VLOOKUP(SalCommune[[#This Row],[Statut]],'Grille communale'!$B$3:$B$5,1,FALSE))=TRUE,"Veuillez choisir le statut parmis la liste déroulante",""))</f>
        <v/>
      </c>
      <c r="B478" s="8"/>
      <c r="C478" s="8"/>
      <c r="D478" s="8"/>
      <c r="E478" s="21"/>
      <c r="F478" s="8"/>
      <c r="G478" s="8"/>
      <c r="H478" s="9"/>
      <c r="I478" s="9"/>
      <c r="J478" s="9"/>
      <c r="K478" s="10"/>
      <c r="L478" s="10"/>
      <c r="M478" s="9"/>
      <c r="N478" s="9"/>
      <c r="O478" s="9"/>
      <c r="P478"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78" s="9"/>
      <c r="R478" s="9"/>
      <c r="S478" s="38"/>
      <c r="T478" s="38"/>
      <c r="U478" s="38"/>
      <c r="V478" s="38"/>
      <c r="W478" s="38"/>
      <c r="X478" s="67" t="str">
        <f>IF(COUNTA(SalCommune[[#This Row],[N°]:[heures annuelles
selon contrat(s)]])=0,"",SalCommune[[#This Row],[Brut]]+SalCommune[[#This Row],[Autres Primes]]+SalCommune[[#This Row],[Part patronale]]-ABS(SalCommune[[#This Row],[Remboursement Mutualité]])-ABS(SalCommune[[#This Row],[Remboursement
Autres]]))</f>
        <v/>
      </c>
      <c r="Y478" s="38"/>
      <c r="Z478"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78" s="8"/>
      <c r="AB478" s="64"/>
      <c r="AC478"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78"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78" s="505"/>
      <c r="AF478" s="187"/>
      <c r="AG478" s="200" t="str">
        <f>IF(COUNTA(SalCommune[[#This Row],[N°]:[heures annuelles
selon contrat(s)]])=0,"",REVEX!$E$9)</f>
        <v/>
      </c>
      <c r="AH478" s="73" t="str">
        <f>IF(SalCommune[[#This Row],[Allocations fonctions]]="","",IF(ISNA(VLOOKUP(SalCommune[[#This Row],[Allocations fonctions]],DROPDOWN[Dropdown82],1,FALSE))=TRUE,"&lt;-- Veuillez choisir l'allocation parmis la liste déroulante.",""))</f>
        <v/>
      </c>
    </row>
    <row r="479" spans="1:34" x14ac:dyDescent="0.25">
      <c r="A479" s="73" t="str">
        <f>IF(SalCommune[[#This Row],[Statut]]="","",IF(ISNA(VLOOKUP(SalCommune[[#This Row],[Statut]],'Grille communale'!$B$3:$B$5,1,FALSE))=TRUE,"Veuillez choisir le statut parmis la liste déroulante",""))</f>
        <v/>
      </c>
      <c r="B479" s="8"/>
      <c r="C479" s="8"/>
      <c r="D479" s="8"/>
      <c r="E479" s="21"/>
      <c r="F479" s="8"/>
      <c r="G479" s="8"/>
      <c r="H479" s="9"/>
      <c r="I479" s="9"/>
      <c r="J479" s="9"/>
      <c r="K479" s="10"/>
      <c r="L479" s="10"/>
      <c r="M479" s="9"/>
      <c r="N479" s="9"/>
      <c r="O479" s="9"/>
      <c r="P479"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79" s="9"/>
      <c r="R479" s="9"/>
      <c r="S479" s="38"/>
      <c r="T479" s="38"/>
      <c r="U479" s="38"/>
      <c r="V479" s="38"/>
      <c r="W479" s="38"/>
      <c r="X479" s="67" t="str">
        <f>IF(COUNTA(SalCommune[[#This Row],[N°]:[heures annuelles
selon contrat(s)]])=0,"",SalCommune[[#This Row],[Brut]]+SalCommune[[#This Row],[Autres Primes]]+SalCommune[[#This Row],[Part patronale]]-ABS(SalCommune[[#This Row],[Remboursement Mutualité]])-ABS(SalCommune[[#This Row],[Remboursement
Autres]]))</f>
        <v/>
      </c>
      <c r="Y479" s="38"/>
      <c r="Z479"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79" s="8"/>
      <c r="AB479" s="64"/>
      <c r="AC479"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79"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79" s="505"/>
      <c r="AF479" s="187"/>
      <c r="AG479" s="200" t="str">
        <f>IF(COUNTA(SalCommune[[#This Row],[N°]:[heures annuelles
selon contrat(s)]])=0,"",REVEX!$E$9)</f>
        <v/>
      </c>
      <c r="AH479" s="73" t="str">
        <f>IF(SalCommune[[#This Row],[Allocations fonctions]]="","",IF(ISNA(VLOOKUP(SalCommune[[#This Row],[Allocations fonctions]],DROPDOWN[Dropdown82],1,FALSE))=TRUE,"&lt;-- Veuillez choisir l'allocation parmis la liste déroulante.",""))</f>
        <v/>
      </c>
    </row>
    <row r="480" spans="1:34" x14ac:dyDescent="0.25">
      <c r="A480" s="73" t="str">
        <f>IF(SalCommune[[#This Row],[Statut]]="","",IF(ISNA(VLOOKUP(SalCommune[[#This Row],[Statut]],'Grille communale'!$B$3:$B$5,1,FALSE))=TRUE,"Veuillez choisir le statut parmis la liste déroulante",""))</f>
        <v/>
      </c>
      <c r="B480" s="8"/>
      <c r="C480" s="8"/>
      <c r="D480" s="8"/>
      <c r="E480" s="21"/>
      <c r="F480" s="8"/>
      <c r="G480" s="8"/>
      <c r="H480" s="9"/>
      <c r="I480" s="9"/>
      <c r="J480" s="9"/>
      <c r="K480" s="10"/>
      <c r="L480" s="10"/>
      <c r="M480" s="9"/>
      <c r="N480" s="9"/>
      <c r="O480" s="9"/>
      <c r="P480"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80" s="9"/>
      <c r="R480" s="9"/>
      <c r="S480" s="38"/>
      <c r="T480" s="38"/>
      <c r="U480" s="38"/>
      <c r="V480" s="38"/>
      <c r="W480" s="38"/>
      <c r="X480" s="67" t="str">
        <f>IF(COUNTA(SalCommune[[#This Row],[N°]:[heures annuelles
selon contrat(s)]])=0,"",SalCommune[[#This Row],[Brut]]+SalCommune[[#This Row],[Autres Primes]]+SalCommune[[#This Row],[Part patronale]]-ABS(SalCommune[[#This Row],[Remboursement Mutualité]])-ABS(SalCommune[[#This Row],[Remboursement
Autres]]))</f>
        <v/>
      </c>
      <c r="Y480" s="38"/>
      <c r="Z480"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80" s="8"/>
      <c r="AB480" s="64"/>
      <c r="AC480"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80"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80" s="505"/>
      <c r="AF480" s="187"/>
      <c r="AG480" s="200" t="str">
        <f>IF(COUNTA(SalCommune[[#This Row],[N°]:[heures annuelles
selon contrat(s)]])=0,"",REVEX!$E$9)</f>
        <v/>
      </c>
      <c r="AH480" s="73" t="str">
        <f>IF(SalCommune[[#This Row],[Allocations fonctions]]="","",IF(ISNA(VLOOKUP(SalCommune[[#This Row],[Allocations fonctions]],DROPDOWN[Dropdown82],1,FALSE))=TRUE,"&lt;-- Veuillez choisir l'allocation parmis la liste déroulante.",""))</f>
        <v/>
      </c>
    </row>
    <row r="481" spans="1:34" x14ac:dyDescent="0.25">
      <c r="A481" s="73" t="str">
        <f>IF(SalCommune[[#This Row],[Statut]]="","",IF(ISNA(VLOOKUP(SalCommune[[#This Row],[Statut]],'Grille communale'!$B$3:$B$5,1,FALSE))=TRUE,"Veuillez choisir le statut parmis la liste déroulante",""))</f>
        <v/>
      </c>
      <c r="B481" s="8"/>
      <c r="C481" s="8"/>
      <c r="D481" s="8"/>
      <c r="E481" s="21"/>
      <c r="F481" s="8"/>
      <c r="G481" s="8"/>
      <c r="H481" s="9"/>
      <c r="I481" s="9"/>
      <c r="J481" s="9"/>
      <c r="K481" s="10"/>
      <c r="L481" s="10"/>
      <c r="M481" s="9"/>
      <c r="N481" s="9"/>
      <c r="O481" s="9"/>
      <c r="P481"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81" s="9"/>
      <c r="R481" s="9"/>
      <c r="S481" s="38"/>
      <c r="T481" s="38"/>
      <c r="U481" s="38"/>
      <c r="V481" s="38"/>
      <c r="W481" s="38"/>
      <c r="X481" s="67" t="str">
        <f>IF(COUNTA(SalCommune[[#This Row],[N°]:[heures annuelles
selon contrat(s)]])=0,"",SalCommune[[#This Row],[Brut]]+SalCommune[[#This Row],[Autres Primes]]+SalCommune[[#This Row],[Part patronale]]-ABS(SalCommune[[#This Row],[Remboursement Mutualité]])-ABS(SalCommune[[#This Row],[Remboursement
Autres]]))</f>
        <v/>
      </c>
      <c r="Y481" s="38"/>
      <c r="Z481"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81" s="8"/>
      <c r="AB481" s="64"/>
      <c r="AC481"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81"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81" s="505"/>
      <c r="AF481" s="187"/>
      <c r="AG481" s="200" t="str">
        <f>IF(COUNTA(SalCommune[[#This Row],[N°]:[heures annuelles
selon contrat(s)]])=0,"",REVEX!$E$9)</f>
        <v/>
      </c>
      <c r="AH481" s="73" t="str">
        <f>IF(SalCommune[[#This Row],[Allocations fonctions]]="","",IF(ISNA(VLOOKUP(SalCommune[[#This Row],[Allocations fonctions]],DROPDOWN[Dropdown82],1,FALSE))=TRUE,"&lt;-- Veuillez choisir l'allocation parmis la liste déroulante.",""))</f>
        <v/>
      </c>
    </row>
    <row r="482" spans="1:34" x14ac:dyDescent="0.25">
      <c r="A482" s="73" t="str">
        <f>IF(SalCommune[[#This Row],[Statut]]="","",IF(ISNA(VLOOKUP(SalCommune[[#This Row],[Statut]],'Grille communale'!$B$3:$B$5,1,FALSE))=TRUE,"Veuillez choisir le statut parmis la liste déroulante",""))</f>
        <v/>
      </c>
      <c r="B482" s="8"/>
      <c r="C482" s="8"/>
      <c r="D482" s="8"/>
      <c r="E482" s="21"/>
      <c r="F482" s="8"/>
      <c r="G482" s="8"/>
      <c r="H482" s="9"/>
      <c r="I482" s="9"/>
      <c r="J482" s="9"/>
      <c r="K482" s="10"/>
      <c r="L482" s="10"/>
      <c r="M482" s="9"/>
      <c r="N482" s="9"/>
      <c r="O482" s="9"/>
      <c r="P482"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82" s="9"/>
      <c r="R482" s="9"/>
      <c r="S482" s="38"/>
      <c r="T482" s="38"/>
      <c r="U482" s="38"/>
      <c r="V482" s="38"/>
      <c r="W482" s="38"/>
      <c r="X482" s="67" t="str">
        <f>IF(COUNTA(SalCommune[[#This Row],[N°]:[heures annuelles
selon contrat(s)]])=0,"",SalCommune[[#This Row],[Brut]]+SalCommune[[#This Row],[Autres Primes]]+SalCommune[[#This Row],[Part patronale]]-ABS(SalCommune[[#This Row],[Remboursement Mutualité]])-ABS(SalCommune[[#This Row],[Remboursement
Autres]]))</f>
        <v/>
      </c>
      <c r="Y482" s="38"/>
      <c r="Z482"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82" s="8"/>
      <c r="AB482" s="64"/>
      <c r="AC482"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82"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82" s="505"/>
      <c r="AF482" s="187"/>
      <c r="AG482" s="200" t="str">
        <f>IF(COUNTA(SalCommune[[#This Row],[N°]:[heures annuelles
selon contrat(s)]])=0,"",REVEX!$E$9)</f>
        <v/>
      </c>
      <c r="AH482" s="73" t="str">
        <f>IF(SalCommune[[#This Row],[Allocations fonctions]]="","",IF(ISNA(VLOOKUP(SalCommune[[#This Row],[Allocations fonctions]],DROPDOWN[Dropdown82],1,FALSE))=TRUE,"&lt;-- Veuillez choisir l'allocation parmis la liste déroulante.",""))</f>
        <v/>
      </c>
    </row>
    <row r="483" spans="1:34" x14ac:dyDescent="0.25">
      <c r="A483" s="73" t="str">
        <f>IF(SalCommune[[#This Row],[Statut]]="","",IF(ISNA(VLOOKUP(SalCommune[[#This Row],[Statut]],'Grille communale'!$B$3:$B$5,1,FALSE))=TRUE,"Veuillez choisir le statut parmis la liste déroulante",""))</f>
        <v/>
      </c>
      <c r="B483" s="8"/>
      <c r="C483" s="8"/>
      <c r="D483" s="8"/>
      <c r="E483" s="21"/>
      <c r="F483" s="8"/>
      <c r="G483" s="8"/>
      <c r="H483" s="9"/>
      <c r="I483" s="9"/>
      <c r="J483" s="9"/>
      <c r="K483" s="10"/>
      <c r="L483" s="10"/>
      <c r="M483" s="9"/>
      <c r="N483" s="9"/>
      <c r="O483" s="9"/>
      <c r="P483"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83" s="9"/>
      <c r="R483" s="9"/>
      <c r="S483" s="38"/>
      <c r="T483" s="38"/>
      <c r="U483" s="38"/>
      <c r="V483" s="38"/>
      <c r="W483" s="38"/>
      <c r="X483" s="67" t="str">
        <f>IF(COUNTA(SalCommune[[#This Row],[N°]:[heures annuelles
selon contrat(s)]])=0,"",SalCommune[[#This Row],[Brut]]+SalCommune[[#This Row],[Autres Primes]]+SalCommune[[#This Row],[Part patronale]]-ABS(SalCommune[[#This Row],[Remboursement Mutualité]])-ABS(SalCommune[[#This Row],[Remboursement
Autres]]))</f>
        <v/>
      </c>
      <c r="Y483" s="38"/>
      <c r="Z483"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83" s="8"/>
      <c r="AB483" s="64"/>
      <c r="AC483"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83"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83" s="505"/>
      <c r="AF483" s="187"/>
      <c r="AG483" s="200" t="str">
        <f>IF(COUNTA(SalCommune[[#This Row],[N°]:[heures annuelles
selon contrat(s)]])=0,"",REVEX!$E$9)</f>
        <v/>
      </c>
      <c r="AH483" s="73" t="str">
        <f>IF(SalCommune[[#This Row],[Allocations fonctions]]="","",IF(ISNA(VLOOKUP(SalCommune[[#This Row],[Allocations fonctions]],DROPDOWN[Dropdown82],1,FALSE))=TRUE,"&lt;-- Veuillez choisir l'allocation parmis la liste déroulante.",""))</f>
        <v/>
      </c>
    </row>
    <row r="484" spans="1:34" x14ac:dyDescent="0.25">
      <c r="A484" s="73" t="str">
        <f>IF(SalCommune[[#This Row],[Statut]]="","",IF(ISNA(VLOOKUP(SalCommune[[#This Row],[Statut]],'Grille communale'!$B$3:$B$5,1,FALSE))=TRUE,"Veuillez choisir le statut parmis la liste déroulante",""))</f>
        <v/>
      </c>
      <c r="B484" s="8"/>
      <c r="C484" s="8"/>
      <c r="D484" s="8"/>
      <c r="E484" s="21"/>
      <c r="F484" s="8"/>
      <c r="G484" s="8"/>
      <c r="H484" s="9"/>
      <c r="I484" s="9"/>
      <c r="J484" s="9"/>
      <c r="K484" s="10"/>
      <c r="L484" s="10"/>
      <c r="M484" s="9"/>
      <c r="N484" s="9"/>
      <c r="O484" s="9"/>
      <c r="P484"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84" s="9"/>
      <c r="R484" s="9"/>
      <c r="S484" s="38"/>
      <c r="T484" s="38"/>
      <c r="U484" s="38"/>
      <c r="V484" s="38"/>
      <c r="W484" s="38"/>
      <c r="X484" s="67" t="str">
        <f>IF(COUNTA(SalCommune[[#This Row],[N°]:[heures annuelles
selon contrat(s)]])=0,"",SalCommune[[#This Row],[Brut]]+SalCommune[[#This Row],[Autres Primes]]+SalCommune[[#This Row],[Part patronale]]-ABS(SalCommune[[#This Row],[Remboursement Mutualité]])-ABS(SalCommune[[#This Row],[Remboursement
Autres]]))</f>
        <v/>
      </c>
      <c r="Y484" s="38"/>
      <c r="Z484"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84" s="8"/>
      <c r="AB484" s="64"/>
      <c r="AC484"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84"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84" s="505"/>
      <c r="AF484" s="187"/>
      <c r="AG484" s="200" t="str">
        <f>IF(COUNTA(SalCommune[[#This Row],[N°]:[heures annuelles
selon contrat(s)]])=0,"",REVEX!$E$9)</f>
        <v/>
      </c>
      <c r="AH484" s="73" t="str">
        <f>IF(SalCommune[[#This Row],[Allocations fonctions]]="","",IF(ISNA(VLOOKUP(SalCommune[[#This Row],[Allocations fonctions]],DROPDOWN[Dropdown82],1,FALSE))=TRUE,"&lt;-- Veuillez choisir l'allocation parmis la liste déroulante.",""))</f>
        <v/>
      </c>
    </row>
    <row r="485" spans="1:34" x14ac:dyDescent="0.25">
      <c r="A485" s="73" t="str">
        <f>IF(SalCommune[[#This Row],[Statut]]="","",IF(ISNA(VLOOKUP(SalCommune[[#This Row],[Statut]],'Grille communale'!$B$3:$B$5,1,FALSE))=TRUE,"Veuillez choisir le statut parmis la liste déroulante",""))</f>
        <v/>
      </c>
      <c r="B485" s="8"/>
      <c r="C485" s="8"/>
      <c r="D485" s="8"/>
      <c r="E485" s="21"/>
      <c r="F485" s="8"/>
      <c r="G485" s="8"/>
      <c r="H485" s="9"/>
      <c r="I485" s="9"/>
      <c r="J485" s="9"/>
      <c r="K485" s="10"/>
      <c r="L485" s="10"/>
      <c r="M485" s="9"/>
      <c r="N485" s="9"/>
      <c r="O485" s="9"/>
      <c r="P485"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85" s="9"/>
      <c r="R485" s="9"/>
      <c r="S485" s="38"/>
      <c r="T485" s="38"/>
      <c r="U485" s="38"/>
      <c r="V485" s="38"/>
      <c r="W485" s="38"/>
      <c r="X485" s="67" t="str">
        <f>IF(COUNTA(SalCommune[[#This Row],[N°]:[heures annuelles
selon contrat(s)]])=0,"",SalCommune[[#This Row],[Brut]]+SalCommune[[#This Row],[Autres Primes]]+SalCommune[[#This Row],[Part patronale]]-ABS(SalCommune[[#This Row],[Remboursement Mutualité]])-ABS(SalCommune[[#This Row],[Remboursement
Autres]]))</f>
        <v/>
      </c>
      <c r="Y485" s="38"/>
      <c r="Z485"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85" s="8"/>
      <c r="AB485" s="64"/>
      <c r="AC485"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85"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85" s="505"/>
      <c r="AF485" s="187"/>
      <c r="AG485" s="200" t="str">
        <f>IF(COUNTA(SalCommune[[#This Row],[N°]:[heures annuelles
selon contrat(s)]])=0,"",REVEX!$E$9)</f>
        <v/>
      </c>
      <c r="AH485" s="73" t="str">
        <f>IF(SalCommune[[#This Row],[Allocations fonctions]]="","",IF(ISNA(VLOOKUP(SalCommune[[#This Row],[Allocations fonctions]],DROPDOWN[Dropdown82],1,FALSE))=TRUE,"&lt;-- Veuillez choisir l'allocation parmis la liste déroulante.",""))</f>
        <v/>
      </c>
    </row>
    <row r="486" spans="1:34" x14ac:dyDescent="0.25">
      <c r="A486" s="73" t="str">
        <f>IF(SalCommune[[#This Row],[Statut]]="","",IF(ISNA(VLOOKUP(SalCommune[[#This Row],[Statut]],'Grille communale'!$B$3:$B$5,1,FALSE))=TRUE,"Veuillez choisir le statut parmis la liste déroulante",""))</f>
        <v/>
      </c>
      <c r="B486" s="8"/>
      <c r="C486" s="8"/>
      <c r="D486" s="8"/>
      <c r="E486" s="21"/>
      <c r="F486" s="8"/>
      <c r="G486" s="8"/>
      <c r="H486" s="9"/>
      <c r="I486" s="9"/>
      <c r="J486" s="9"/>
      <c r="K486" s="10"/>
      <c r="L486" s="10"/>
      <c r="M486" s="9"/>
      <c r="N486" s="9"/>
      <c r="O486" s="9"/>
      <c r="P486"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86" s="9"/>
      <c r="R486" s="9"/>
      <c r="S486" s="38"/>
      <c r="T486" s="38"/>
      <c r="U486" s="38"/>
      <c r="V486" s="38"/>
      <c r="W486" s="38"/>
      <c r="X486" s="67" t="str">
        <f>IF(COUNTA(SalCommune[[#This Row],[N°]:[heures annuelles
selon contrat(s)]])=0,"",SalCommune[[#This Row],[Brut]]+SalCommune[[#This Row],[Autres Primes]]+SalCommune[[#This Row],[Part patronale]]-ABS(SalCommune[[#This Row],[Remboursement Mutualité]])-ABS(SalCommune[[#This Row],[Remboursement
Autres]]))</f>
        <v/>
      </c>
      <c r="Y486" s="38"/>
      <c r="Z486"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86" s="8"/>
      <c r="AB486" s="64"/>
      <c r="AC486"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86"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86" s="505"/>
      <c r="AF486" s="187"/>
      <c r="AG486" s="200" t="str">
        <f>IF(COUNTA(SalCommune[[#This Row],[N°]:[heures annuelles
selon contrat(s)]])=0,"",REVEX!$E$9)</f>
        <v/>
      </c>
      <c r="AH486" s="73" t="str">
        <f>IF(SalCommune[[#This Row],[Allocations fonctions]]="","",IF(ISNA(VLOOKUP(SalCommune[[#This Row],[Allocations fonctions]],DROPDOWN[Dropdown82],1,FALSE))=TRUE,"&lt;-- Veuillez choisir l'allocation parmis la liste déroulante.",""))</f>
        <v/>
      </c>
    </row>
    <row r="487" spans="1:34" x14ac:dyDescent="0.25">
      <c r="A487" s="73" t="str">
        <f>IF(SalCommune[[#This Row],[Statut]]="","",IF(ISNA(VLOOKUP(SalCommune[[#This Row],[Statut]],'Grille communale'!$B$3:$B$5,1,FALSE))=TRUE,"Veuillez choisir le statut parmis la liste déroulante",""))</f>
        <v/>
      </c>
      <c r="B487" s="8"/>
      <c r="C487" s="8"/>
      <c r="D487" s="8"/>
      <c r="E487" s="21"/>
      <c r="F487" s="8"/>
      <c r="G487" s="8"/>
      <c r="H487" s="9"/>
      <c r="I487" s="9"/>
      <c r="J487" s="9"/>
      <c r="K487" s="10"/>
      <c r="L487" s="10"/>
      <c r="M487" s="9"/>
      <c r="N487" s="9"/>
      <c r="O487" s="9"/>
      <c r="P487"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87" s="9"/>
      <c r="R487" s="9"/>
      <c r="S487" s="38"/>
      <c r="T487" s="38"/>
      <c r="U487" s="38"/>
      <c r="V487" s="38"/>
      <c r="W487" s="38"/>
      <c r="X487" s="67" t="str">
        <f>IF(COUNTA(SalCommune[[#This Row],[N°]:[heures annuelles
selon contrat(s)]])=0,"",SalCommune[[#This Row],[Brut]]+SalCommune[[#This Row],[Autres Primes]]+SalCommune[[#This Row],[Part patronale]]-ABS(SalCommune[[#This Row],[Remboursement Mutualité]])-ABS(SalCommune[[#This Row],[Remboursement
Autres]]))</f>
        <v/>
      </c>
      <c r="Y487" s="38"/>
      <c r="Z487"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87" s="8"/>
      <c r="AB487" s="64"/>
      <c r="AC487"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87"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87" s="505"/>
      <c r="AF487" s="187"/>
      <c r="AG487" s="200" t="str">
        <f>IF(COUNTA(SalCommune[[#This Row],[N°]:[heures annuelles
selon contrat(s)]])=0,"",REVEX!$E$9)</f>
        <v/>
      </c>
      <c r="AH487" s="73" t="str">
        <f>IF(SalCommune[[#This Row],[Allocations fonctions]]="","",IF(ISNA(VLOOKUP(SalCommune[[#This Row],[Allocations fonctions]],DROPDOWN[Dropdown82],1,FALSE))=TRUE,"&lt;-- Veuillez choisir l'allocation parmis la liste déroulante.",""))</f>
        <v/>
      </c>
    </row>
    <row r="488" spans="1:34" x14ac:dyDescent="0.25">
      <c r="A488" s="73" t="str">
        <f>IF(SalCommune[[#This Row],[Statut]]="","",IF(ISNA(VLOOKUP(SalCommune[[#This Row],[Statut]],'Grille communale'!$B$3:$B$5,1,FALSE))=TRUE,"Veuillez choisir le statut parmis la liste déroulante",""))</f>
        <v/>
      </c>
      <c r="B488" s="8"/>
      <c r="C488" s="8"/>
      <c r="D488" s="8"/>
      <c r="E488" s="21"/>
      <c r="F488" s="8"/>
      <c r="G488" s="8"/>
      <c r="H488" s="9"/>
      <c r="I488" s="9"/>
      <c r="J488" s="9"/>
      <c r="K488" s="10"/>
      <c r="L488" s="10"/>
      <c r="M488" s="9"/>
      <c r="N488" s="9"/>
      <c r="O488" s="9"/>
      <c r="P488"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88" s="9"/>
      <c r="R488" s="9"/>
      <c r="S488" s="38"/>
      <c r="T488" s="38"/>
      <c r="U488" s="38"/>
      <c r="V488" s="38"/>
      <c r="W488" s="38"/>
      <c r="X488" s="67" t="str">
        <f>IF(COUNTA(SalCommune[[#This Row],[N°]:[heures annuelles
selon contrat(s)]])=0,"",SalCommune[[#This Row],[Brut]]+SalCommune[[#This Row],[Autres Primes]]+SalCommune[[#This Row],[Part patronale]]-ABS(SalCommune[[#This Row],[Remboursement Mutualité]])-ABS(SalCommune[[#This Row],[Remboursement
Autres]]))</f>
        <v/>
      </c>
      <c r="Y488" s="38"/>
      <c r="Z488"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88" s="8"/>
      <c r="AB488" s="64"/>
      <c r="AC488"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88"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88" s="505"/>
      <c r="AF488" s="187"/>
      <c r="AG488" s="200" t="str">
        <f>IF(COUNTA(SalCommune[[#This Row],[N°]:[heures annuelles
selon contrat(s)]])=0,"",REVEX!$E$9)</f>
        <v/>
      </c>
      <c r="AH488" s="73" t="str">
        <f>IF(SalCommune[[#This Row],[Allocations fonctions]]="","",IF(ISNA(VLOOKUP(SalCommune[[#This Row],[Allocations fonctions]],DROPDOWN[Dropdown82],1,FALSE))=TRUE,"&lt;-- Veuillez choisir l'allocation parmis la liste déroulante.",""))</f>
        <v/>
      </c>
    </row>
    <row r="489" spans="1:34" x14ac:dyDescent="0.25">
      <c r="A489" s="73" t="str">
        <f>IF(SalCommune[[#This Row],[Statut]]="","",IF(ISNA(VLOOKUP(SalCommune[[#This Row],[Statut]],'Grille communale'!$B$3:$B$5,1,FALSE))=TRUE,"Veuillez choisir le statut parmis la liste déroulante",""))</f>
        <v/>
      </c>
      <c r="B489" s="8"/>
      <c r="C489" s="8"/>
      <c r="D489" s="8"/>
      <c r="E489" s="21"/>
      <c r="F489" s="8"/>
      <c r="G489" s="8"/>
      <c r="H489" s="9"/>
      <c r="I489" s="9"/>
      <c r="J489" s="9"/>
      <c r="K489" s="10"/>
      <c r="L489" s="10"/>
      <c r="M489" s="9"/>
      <c r="N489" s="9"/>
      <c r="O489" s="9"/>
      <c r="P489"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89" s="9"/>
      <c r="R489" s="9"/>
      <c r="S489" s="38"/>
      <c r="T489" s="38"/>
      <c r="U489" s="38"/>
      <c r="V489" s="38"/>
      <c r="W489" s="38"/>
      <c r="X489" s="67" t="str">
        <f>IF(COUNTA(SalCommune[[#This Row],[N°]:[heures annuelles
selon contrat(s)]])=0,"",SalCommune[[#This Row],[Brut]]+SalCommune[[#This Row],[Autres Primes]]+SalCommune[[#This Row],[Part patronale]]-ABS(SalCommune[[#This Row],[Remboursement Mutualité]])-ABS(SalCommune[[#This Row],[Remboursement
Autres]]))</f>
        <v/>
      </c>
      <c r="Y489" s="38"/>
      <c r="Z489"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89" s="8"/>
      <c r="AB489" s="64"/>
      <c r="AC489"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89"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89" s="505"/>
      <c r="AF489" s="187"/>
      <c r="AG489" s="200" t="str">
        <f>IF(COUNTA(SalCommune[[#This Row],[N°]:[heures annuelles
selon contrat(s)]])=0,"",REVEX!$E$9)</f>
        <v/>
      </c>
      <c r="AH489" s="73" t="str">
        <f>IF(SalCommune[[#This Row],[Allocations fonctions]]="","",IF(ISNA(VLOOKUP(SalCommune[[#This Row],[Allocations fonctions]],DROPDOWN[Dropdown82],1,FALSE))=TRUE,"&lt;-- Veuillez choisir l'allocation parmis la liste déroulante.",""))</f>
        <v/>
      </c>
    </row>
    <row r="490" spans="1:34" x14ac:dyDescent="0.25">
      <c r="A490" s="73" t="str">
        <f>IF(SalCommune[[#This Row],[Statut]]="","",IF(ISNA(VLOOKUP(SalCommune[[#This Row],[Statut]],'Grille communale'!$B$3:$B$5,1,FALSE))=TRUE,"Veuillez choisir le statut parmis la liste déroulante",""))</f>
        <v/>
      </c>
      <c r="B490" s="8"/>
      <c r="C490" s="8"/>
      <c r="D490" s="8"/>
      <c r="E490" s="21"/>
      <c r="F490" s="8"/>
      <c r="G490" s="8"/>
      <c r="H490" s="9"/>
      <c r="I490" s="9"/>
      <c r="J490" s="9"/>
      <c r="K490" s="10"/>
      <c r="L490" s="10"/>
      <c r="M490" s="9"/>
      <c r="N490" s="9"/>
      <c r="O490" s="9"/>
      <c r="P490"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90" s="9"/>
      <c r="R490" s="9"/>
      <c r="S490" s="38"/>
      <c r="T490" s="38"/>
      <c r="U490" s="38"/>
      <c r="V490" s="38"/>
      <c r="W490" s="38"/>
      <c r="X490" s="67" t="str">
        <f>IF(COUNTA(SalCommune[[#This Row],[N°]:[heures annuelles
selon contrat(s)]])=0,"",SalCommune[[#This Row],[Brut]]+SalCommune[[#This Row],[Autres Primes]]+SalCommune[[#This Row],[Part patronale]]-ABS(SalCommune[[#This Row],[Remboursement Mutualité]])-ABS(SalCommune[[#This Row],[Remboursement
Autres]]))</f>
        <v/>
      </c>
      <c r="Y490" s="38"/>
      <c r="Z490"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90" s="8"/>
      <c r="AB490" s="64"/>
      <c r="AC490"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90"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90" s="505"/>
      <c r="AF490" s="187"/>
      <c r="AG490" s="200" t="str">
        <f>IF(COUNTA(SalCommune[[#This Row],[N°]:[heures annuelles
selon contrat(s)]])=0,"",REVEX!$E$9)</f>
        <v/>
      </c>
      <c r="AH490" s="73" t="str">
        <f>IF(SalCommune[[#This Row],[Allocations fonctions]]="","",IF(ISNA(VLOOKUP(SalCommune[[#This Row],[Allocations fonctions]],DROPDOWN[Dropdown82],1,FALSE))=TRUE,"&lt;-- Veuillez choisir l'allocation parmis la liste déroulante.",""))</f>
        <v/>
      </c>
    </row>
    <row r="491" spans="1:34" x14ac:dyDescent="0.25">
      <c r="A491" s="73" t="str">
        <f>IF(SalCommune[[#This Row],[Statut]]="","",IF(ISNA(VLOOKUP(SalCommune[[#This Row],[Statut]],'Grille communale'!$B$3:$B$5,1,FALSE))=TRUE,"Veuillez choisir le statut parmis la liste déroulante",""))</f>
        <v/>
      </c>
      <c r="B491" s="8"/>
      <c r="C491" s="8"/>
      <c r="D491" s="8"/>
      <c r="E491" s="21"/>
      <c r="F491" s="8"/>
      <c r="G491" s="8"/>
      <c r="H491" s="9"/>
      <c r="I491" s="9"/>
      <c r="J491" s="9"/>
      <c r="K491" s="10"/>
      <c r="L491" s="10"/>
      <c r="M491" s="9"/>
      <c r="N491" s="9"/>
      <c r="O491" s="9"/>
      <c r="P491"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91" s="9"/>
      <c r="R491" s="9"/>
      <c r="S491" s="38"/>
      <c r="T491" s="38"/>
      <c r="U491" s="38"/>
      <c r="V491" s="38"/>
      <c r="W491" s="38"/>
      <c r="X491" s="67" t="str">
        <f>IF(COUNTA(SalCommune[[#This Row],[N°]:[heures annuelles
selon contrat(s)]])=0,"",SalCommune[[#This Row],[Brut]]+SalCommune[[#This Row],[Autres Primes]]+SalCommune[[#This Row],[Part patronale]]-ABS(SalCommune[[#This Row],[Remboursement Mutualité]])-ABS(SalCommune[[#This Row],[Remboursement
Autres]]))</f>
        <v/>
      </c>
      <c r="Y491" s="38"/>
      <c r="Z491"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91" s="8"/>
      <c r="AB491" s="64"/>
      <c r="AC491"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91"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91" s="505"/>
      <c r="AF491" s="187"/>
      <c r="AG491" s="200" t="str">
        <f>IF(COUNTA(SalCommune[[#This Row],[N°]:[heures annuelles
selon contrat(s)]])=0,"",REVEX!$E$9)</f>
        <v/>
      </c>
      <c r="AH491" s="73" t="str">
        <f>IF(SalCommune[[#This Row],[Allocations fonctions]]="","",IF(ISNA(VLOOKUP(SalCommune[[#This Row],[Allocations fonctions]],DROPDOWN[Dropdown82],1,FALSE))=TRUE,"&lt;-- Veuillez choisir l'allocation parmis la liste déroulante.",""))</f>
        <v/>
      </c>
    </row>
    <row r="492" spans="1:34" x14ac:dyDescent="0.25">
      <c r="A492" s="73" t="str">
        <f>IF(SalCommune[[#This Row],[Statut]]="","",IF(ISNA(VLOOKUP(SalCommune[[#This Row],[Statut]],'Grille communale'!$B$3:$B$5,1,FALSE))=TRUE,"Veuillez choisir le statut parmis la liste déroulante",""))</f>
        <v/>
      </c>
      <c r="B492" s="8"/>
      <c r="C492" s="8"/>
      <c r="D492" s="8"/>
      <c r="E492" s="21"/>
      <c r="F492" s="8"/>
      <c r="G492" s="8"/>
      <c r="H492" s="9"/>
      <c r="I492" s="9"/>
      <c r="J492" s="9"/>
      <c r="K492" s="10"/>
      <c r="L492" s="10"/>
      <c r="M492" s="9"/>
      <c r="N492" s="9"/>
      <c r="O492" s="9"/>
      <c r="P492"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92" s="9"/>
      <c r="R492" s="9"/>
      <c r="S492" s="38"/>
      <c r="T492" s="38"/>
      <c r="U492" s="38"/>
      <c r="V492" s="38"/>
      <c r="W492" s="38"/>
      <c r="X492" s="67" t="str">
        <f>IF(COUNTA(SalCommune[[#This Row],[N°]:[heures annuelles
selon contrat(s)]])=0,"",SalCommune[[#This Row],[Brut]]+SalCommune[[#This Row],[Autres Primes]]+SalCommune[[#This Row],[Part patronale]]-ABS(SalCommune[[#This Row],[Remboursement Mutualité]])-ABS(SalCommune[[#This Row],[Remboursement
Autres]]))</f>
        <v/>
      </c>
      <c r="Y492" s="38"/>
      <c r="Z492"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92" s="8"/>
      <c r="AB492" s="64"/>
      <c r="AC492"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92"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92" s="505"/>
      <c r="AF492" s="187"/>
      <c r="AG492" s="200" t="str">
        <f>IF(COUNTA(SalCommune[[#This Row],[N°]:[heures annuelles
selon contrat(s)]])=0,"",REVEX!$E$9)</f>
        <v/>
      </c>
      <c r="AH492" s="73" t="str">
        <f>IF(SalCommune[[#This Row],[Allocations fonctions]]="","",IF(ISNA(VLOOKUP(SalCommune[[#This Row],[Allocations fonctions]],DROPDOWN[Dropdown82],1,FALSE))=TRUE,"&lt;-- Veuillez choisir l'allocation parmis la liste déroulante.",""))</f>
        <v/>
      </c>
    </row>
    <row r="493" spans="1:34" x14ac:dyDescent="0.25">
      <c r="A493" s="73" t="str">
        <f>IF(SalCommune[[#This Row],[Statut]]="","",IF(ISNA(VLOOKUP(SalCommune[[#This Row],[Statut]],'Grille communale'!$B$3:$B$5,1,FALSE))=TRUE,"Veuillez choisir le statut parmis la liste déroulante",""))</f>
        <v/>
      </c>
      <c r="B493" s="8"/>
      <c r="C493" s="8"/>
      <c r="D493" s="8"/>
      <c r="E493" s="21"/>
      <c r="F493" s="8"/>
      <c r="G493" s="8"/>
      <c r="H493" s="9"/>
      <c r="I493" s="9"/>
      <c r="J493" s="9"/>
      <c r="K493" s="10"/>
      <c r="L493" s="10"/>
      <c r="M493" s="9"/>
      <c r="N493" s="9"/>
      <c r="O493" s="9"/>
      <c r="P493"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93" s="9"/>
      <c r="R493" s="9"/>
      <c r="S493" s="38"/>
      <c r="T493" s="38"/>
      <c r="U493" s="38"/>
      <c r="V493" s="38"/>
      <c r="W493" s="38"/>
      <c r="X493" s="67" t="str">
        <f>IF(COUNTA(SalCommune[[#This Row],[N°]:[heures annuelles
selon contrat(s)]])=0,"",SalCommune[[#This Row],[Brut]]+SalCommune[[#This Row],[Autres Primes]]+SalCommune[[#This Row],[Part patronale]]-ABS(SalCommune[[#This Row],[Remboursement Mutualité]])-ABS(SalCommune[[#This Row],[Remboursement
Autres]]))</f>
        <v/>
      </c>
      <c r="Y493" s="38"/>
      <c r="Z493"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93" s="8"/>
      <c r="AB493" s="64"/>
      <c r="AC493"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93"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93" s="505"/>
      <c r="AF493" s="187"/>
      <c r="AG493" s="200" t="str">
        <f>IF(COUNTA(SalCommune[[#This Row],[N°]:[heures annuelles
selon contrat(s)]])=0,"",REVEX!$E$9)</f>
        <v/>
      </c>
      <c r="AH493" s="73" t="str">
        <f>IF(SalCommune[[#This Row],[Allocations fonctions]]="","",IF(ISNA(VLOOKUP(SalCommune[[#This Row],[Allocations fonctions]],DROPDOWN[Dropdown82],1,FALSE))=TRUE,"&lt;-- Veuillez choisir l'allocation parmis la liste déroulante.",""))</f>
        <v/>
      </c>
    </row>
    <row r="494" spans="1:34" x14ac:dyDescent="0.25">
      <c r="A494" s="73" t="str">
        <f>IF(SalCommune[[#This Row],[Statut]]="","",IF(ISNA(VLOOKUP(SalCommune[[#This Row],[Statut]],'Grille communale'!$B$3:$B$5,1,FALSE))=TRUE,"Veuillez choisir le statut parmis la liste déroulante",""))</f>
        <v/>
      </c>
      <c r="B494" s="8"/>
      <c r="C494" s="8"/>
      <c r="D494" s="8"/>
      <c r="E494" s="21"/>
      <c r="F494" s="8"/>
      <c r="G494" s="8"/>
      <c r="H494" s="9"/>
      <c r="I494" s="9"/>
      <c r="J494" s="9"/>
      <c r="K494" s="10"/>
      <c r="L494" s="10"/>
      <c r="M494" s="9"/>
      <c r="N494" s="9"/>
      <c r="O494" s="9"/>
      <c r="P494"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94" s="9"/>
      <c r="R494" s="9"/>
      <c r="S494" s="38"/>
      <c r="T494" s="38"/>
      <c r="U494" s="38"/>
      <c r="V494" s="38"/>
      <c r="W494" s="38"/>
      <c r="X494" s="67" t="str">
        <f>IF(COUNTA(SalCommune[[#This Row],[N°]:[heures annuelles
selon contrat(s)]])=0,"",SalCommune[[#This Row],[Brut]]+SalCommune[[#This Row],[Autres Primes]]+SalCommune[[#This Row],[Part patronale]]-ABS(SalCommune[[#This Row],[Remboursement Mutualité]])-ABS(SalCommune[[#This Row],[Remboursement
Autres]]))</f>
        <v/>
      </c>
      <c r="Y494" s="38"/>
      <c r="Z494"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94" s="8"/>
      <c r="AB494" s="64"/>
      <c r="AC494"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94"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94" s="505"/>
      <c r="AF494" s="187"/>
      <c r="AG494" s="200" t="str">
        <f>IF(COUNTA(SalCommune[[#This Row],[N°]:[heures annuelles
selon contrat(s)]])=0,"",REVEX!$E$9)</f>
        <v/>
      </c>
      <c r="AH494" s="73" t="str">
        <f>IF(SalCommune[[#This Row],[Allocations fonctions]]="","",IF(ISNA(VLOOKUP(SalCommune[[#This Row],[Allocations fonctions]],DROPDOWN[Dropdown82],1,FALSE))=TRUE,"&lt;-- Veuillez choisir l'allocation parmis la liste déroulante.",""))</f>
        <v/>
      </c>
    </row>
    <row r="495" spans="1:34" x14ac:dyDescent="0.25">
      <c r="A495" s="73" t="str">
        <f>IF(SalCommune[[#This Row],[Statut]]="","",IF(ISNA(VLOOKUP(SalCommune[[#This Row],[Statut]],'Grille communale'!$B$3:$B$5,1,FALSE))=TRUE,"Veuillez choisir le statut parmis la liste déroulante",""))</f>
        <v/>
      </c>
      <c r="B495" s="8"/>
      <c r="C495" s="8"/>
      <c r="D495" s="8"/>
      <c r="E495" s="21"/>
      <c r="F495" s="8"/>
      <c r="G495" s="8"/>
      <c r="H495" s="9"/>
      <c r="I495" s="9"/>
      <c r="J495" s="9"/>
      <c r="K495" s="10"/>
      <c r="L495" s="10"/>
      <c r="M495" s="9"/>
      <c r="N495" s="9"/>
      <c r="O495" s="9"/>
      <c r="P495"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95" s="9"/>
      <c r="R495" s="9"/>
      <c r="S495" s="38"/>
      <c r="T495" s="38"/>
      <c r="U495" s="38"/>
      <c r="V495" s="38"/>
      <c r="W495" s="38"/>
      <c r="X495" s="67" t="str">
        <f>IF(COUNTA(SalCommune[[#This Row],[N°]:[heures annuelles
selon contrat(s)]])=0,"",SalCommune[[#This Row],[Brut]]+SalCommune[[#This Row],[Autres Primes]]+SalCommune[[#This Row],[Part patronale]]-ABS(SalCommune[[#This Row],[Remboursement Mutualité]])-ABS(SalCommune[[#This Row],[Remboursement
Autres]]))</f>
        <v/>
      </c>
      <c r="Y495" s="38"/>
      <c r="Z495"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95" s="8"/>
      <c r="AB495" s="64"/>
      <c r="AC495"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95"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95" s="505"/>
      <c r="AF495" s="187"/>
      <c r="AG495" s="200" t="str">
        <f>IF(COUNTA(SalCommune[[#This Row],[N°]:[heures annuelles
selon contrat(s)]])=0,"",REVEX!$E$9)</f>
        <v/>
      </c>
      <c r="AH495" s="73" t="str">
        <f>IF(SalCommune[[#This Row],[Allocations fonctions]]="","",IF(ISNA(VLOOKUP(SalCommune[[#This Row],[Allocations fonctions]],DROPDOWN[Dropdown82],1,FALSE))=TRUE,"&lt;-- Veuillez choisir l'allocation parmis la liste déroulante.",""))</f>
        <v/>
      </c>
    </row>
    <row r="496" spans="1:34" x14ac:dyDescent="0.25">
      <c r="A496" s="73" t="str">
        <f>IF(SalCommune[[#This Row],[Statut]]="","",IF(ISNA(VLOOKUP(SalCommune[[#This Row],[Statut]],'Grille communale'!$B$3:$B$5,1,FALSE))=TRUE,"Veuillez choisir le statut parmis la liste déroulante",""))</f>
        <v/>
      </c>
      <c r="B496" s="8"/>
      <c r="C496" s="8"/>
      <c r="D496" s="8"/>
      <c r="E496" s="21"/>
      <c r="F496" s="8"/>
      <c r="G496" s="8"/>
      <c r="H496" s="9"/>
      <c r="I496" s="9"/>
      <c r="J496" s="9"/>
      <c r="K496" s="10"/>
      <c r="L496" s="10"/>
      <c r="M496" s="9"/>
      <c r="N496" s="9"/>
      <c r="O496" s="9"/>
      <c r="P496"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96" s="9"/>
      <c r="R496" s="9"/>
      <c r="S496" s="38"/>
      <c r="T496" s="38"/>
      <c r="U496" s="38"/>
      <c r="V496" s="38"/>
      <c r="W496" s="38"/>
      <c r="X496" s="67" t="str">
        <f>IF(COUNTA(SalCommune[[#This Row],[N°]:[heures annuelles
selon contrat(s)]])=0,"",SalCommune[[#This Row],[Brut]]+SalCommune[[#This Row],[Autres Primes]]+SalCommune[[#This Row],[Part patronale]]-ABS(SalCommune[[#This Row],[Remboursement Mutualité]])-ABS(SalCommune[[#This Row],[Remboursement
Autres]]))</f>
        <v/>
      </c>
      <c r="Y496" s="38"/>
      <c r="Z496"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96" s="8"/>
      <c r="AB496" s="64"/>
      <c r="AC496"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96"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96" s="505"/>
      <c r="AF496" s="187"/>
      <c r="AG496" s="200" t="str">
        <f>IF(COUNTA(SalCommune[[#This Row],[N°]:[heures annuelles
selon contrat(s)]])=0,"",REVEX!$E$9)</f>
        <v/>
      </c>
      <c r="AH496" s="73" t="str">
        <f>IF(SalCommune[[#This Row],[Allocations fonctions]]="","",IF(ISNA(VLOOKUP(SalCommune[[#This Row],[Allocations fonctions]],DROPDOWN[Dropdown82],1,FALSE))=TRUE,"&lt;-- Veuillez choisir l'allocation parmis la liste déroulante.",""))</f>
        <v/>
      </c>
    </row>
    <row r="497" spans="1:34" x14ac:dyDescent="0.25">
      <c r="A497" s="73" t="str">
        <f>IF(SalCommune[[#This Row],[Statut]]="","",IF(ISNA(VLOOKUP(SalCommune[[#This Row],[Statut]],'Grille communale'!$B$3:$B$5,1,FALSE))=TRUE,"Veuillez choisir le statut parmis la liste déroulante",""))</f>
        <v/>
      </c>
      <c r="B497" s="8"/>
      <c r="C497" s="8"/>
      <c r="D497" s="8"/>
      <c r="E497" s="21"/>
      <c r="F497" s="8"/>
      <c r="G497" s="8"/>
      <c r="H497" s="9"/>
      <c r="I497" s="9"/>
      <c r="J497" s="9"/>
      <c r="K497" s="10"/>
      <c r="L497" s="10"/>
      <c r="M497" s="9"/>
      <c r="N497" s="9"/>
      <c r="O497" s="9"/>
      <c r="P497"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97" s="9"/>
      <c r="R497" s="9"/>
      <c r="S497" s="38"/>
      <c r="T497" s="38"/>
      <c r="U497" s="38"/>
      <c r="V497" s="38"/>
      <c r="W497" s="38"/>
      <c r="X497" s="67" t="str">
        <f>IF(COUNTA(SalCommune[[#This Row],[N°]:[heures annuelles
selon contrat(s)]])=0,"",SalCommune[[#This Row],[Brut]]+SalCommune[[#This Row],[Autres Primes]]+SalCommune[[#This Row],[Part patronale]]-ABS(SalCommune[[#This Row],[Remboursement Mutualité]])-ABS(SalCommune[[#This Row],[Remboursement
Autres]]))</f>
        <v/>
      </c>
      <c r="Y497" s="38"/>
      <c r="Z497"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97" s="8"/>
      <c r="AB497" s="64"/>
      <c r="AC497"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97"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97" s="505"/>
      <c r="AF497" s="187"/>
      <c r="AG497" s="200" t="str">
        <f>IF(COUNTA(SalCommune[[#This Row],[N°]:[heures annuelles
selon contrat(s)]])=0,"",REVEX!$E$9)</f>
        <v/>
      </c>
      <c r="AH497" s="73" t="str">
        <f>IF(SalCommune[[#This Row],[Allocations fonctions]]="","",IF(ISNA(VLOOKUP(SalCommune[[#This Row],[Allocations fonctions]],DROPDOWN[Dropdown82],1,FALSE))=TRUE,"&lt;-- Veuillez choisir l'allocation parmis la liste déroulante.",""))</f>
        <v/>
      </c>
    </row>
    <row r="498" spans="1:34" x14ac:dyDescent="0.25">
      <c r="A498" s="73" t="str">
        <f>IF(SalCommune[[#This Row],[Statut]]="","",IF(ISNA(VLOOKUP(SalCommune[[#This Row],[Statut]],'Grille communale'!$B$3:$B$5,1,FALSE))=TRUE,"Veuillez choisir le statut parmis la liste déroulante",""))</f>
        <v/>
      </c>
      <c r="B498" s="8"/>
      <c r="C498" s="8"/>
      <c r="D498" s="8"/>
      <c r="E498" s="21"/>
      <c r="F498" s="8"/>
      <c r="G498" s="8"/>
      <c r="H498" s="9"/>
      <c r="I498" s="9"/>
      <c r="J498" s="9"/>
      <c r="K498" s="10"/>
      <c r="L498" s="10"/>
      <c r="M498" s="9"/>
      <c r="N498" s="9"/>
      <c r="O498" s="9"/>
      <c r="P498"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98" s="9"/>
      <c r="R498" s="9"/>
      <c r="S498" s="38"/>
      <c r="T498" s="38"/>
      <c r="U498" s="38"/>
      <c r="V498" s="38"/>
      <c r="W498" s="38"/>
      <c r="X498" s="67" t="str">
        <f>IF(COUNTA(SalCommune[[#This Row],[N°]:[heures annuelles
selon contrat(s)]])=0,"",SalCommune[[#This Row],[Brut]]+SalCommune[[#This Row],[Autres Primes]]+SalCommune[[#This Row],[Part patronale]]-ABS(SalCommune[[#This Row],[Remboursement Mutualité]])-ABS(SalCommune[[#This Row],[Remboursement
Autres]]))</f>
        <v/>
      </c>
      <c r="Y498" s="38"/>
      <c r="Z498"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98" s="8"/>
      <c r="AB498" s="64"/>
      <c r="AC498"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98"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98" s="505"/>
      <c r="AF498" s="187"/>
      <c r="AG498" s="200" t="str">
        <f>IF(COUNTA(SalCommune[[#This Row],[N°]:[heures annuelles
selon contrat(s)]])=0,"",REVEX!$E$9)</f>
        <v/>
      </c>
      <c r="AH498" s="73" t="str">
        <f>IF(SalCommune[[#This Row],[Allocations fonctions]]="","",IF(ISNA(VLOOKUP(SalCommune[[#This Row],[Allocations fonctions]],DROPDOWN[Dropdown82],1,FALSE))=TRUE,"&lt;-- Veuillez choisir l'allocation parmis la liste déroulante.",""))</f>
        <v/>
      </c>
    </row>
    <row r="499" spans="1:34" x14ac:dyDescent="0.25">
      <c r="A499" s="73" t="str">
        <f>IF(SalCommune[[#This Row],[Statut]]="","",IF(ISNA(VLOOKUP(SalCommune[[#This Row],[Statut]],'Grille communale'!$B$3:$B$5,1,FALSE))=TRUE,"Veuillez choisir le statut parmis la liste déroulante",""))</f>
        <v/>
      </c>
      <c r="B499" s="8"/>
      <c r="C499" s="8"/>
      <c r="D499" s="8"/>
      <c r="E499" s="21"/>
      <c r="F499" s="8"/>
      <c r="G499" s="8"/>
      <c r="H499" s="9"/>
      <c r="I499" s="9"/>
      <c r="J499" s="9"/>
      <c r="K499" s="10"/>
      <c r="L499" s="10"/>
      <c r="M499" s="9"/>
      <c r="N499" s="9"/>
      <c r="O499" s="9"/>
      <c r="P499"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499" s="9"/>
      <c r="R499" s="9"/>
      <c r="S499" s="38"/>
      <c r="T499" s="38"/>
      <c r="U499" s="38"/>
      <c r="V499" s="38"/>
      <c r="W499" s="38"/>
      <c r="X499" s="67" t="str">
        <f>IF(COUNTA(SalCommune[[#This Row],[N°]:[heures annuelles
selon contrat(s)]])=0,"",SalCommune[[#This Row],[Brut]]+SalCommune[[#This Row],[Autres Primes]]+SalCommune[[#This Row],[Part patronale]]-ABS(SalCommune[[#This Row],[Remboursement Mutualité]])-ABS(SalCommune[[#This Row],[Remboursement
Autres]]))</f>
        <v/>
      </c>
      <c r="Y499" s="38"/>
      <c r="Z499"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499" s="8"/>
      <c r="AB499" s="64"/>
      <c r="AC499"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499"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499" s="505"/>
      <c r="AF499" s="187"/>
      <c r="AG499" s="200" t="str">
        <f>IF(COUNTA(SalCommune[[#This Row],[N°]:[heures annuelles
selon contrat(s)]])=0,"",REVEX!$E$9)</f>
        <v/>
      </c>
      <c r="AH499" s="73" t="str">
        <f>IF(SalCommune[[#This Row],[Allocations fonctions]]="","",IF(ISNA(VLOOKUP(SalCommune[[#This Row],[Allocations fonctions]],DROPDOWN[Dropdown82],1,FALSE))=TRUE,"&lt;-- Veuillez choisir l'allocation parmis la liste déroulante.",""))</f>
        <v/>
      </c>
    </row>
    <row r="500" spans="1:34" x14ac:dyDescent="0.25">
      <c r="A500" s="73" t="str">
        <f>IF(SalCommune[[#This Row],[Statut]]="","",IF(ISNA(VLOOKUP(SalCommune[[#This Row],[Statut]],'Grille communale'!$B$3:$B$5,1,FALSE))=TRUE,"Veuillez choisir le statut parmis la liste déroulante",""))</f>
        <v/>
      </c>
      <c r="B500" s="8"/>
      <c r="C500" s="8"/>
      <c r="D500" s="8"/>
      <c r="E500" s="21"/>
      <c r="F500" s="8"/>
      <c r="G500" s="8"/>
      <c r="H500" s="9"/>
      <c r="I500" s="9"/>
      <c r="J500" s="9"/>
      <c r="K500" s="10"/>
      <c r="L500" s="10"/>
      <c r="M500" s="9"/>
      <c r="N500" s="9"/>
      <c r="O500" s="9"/>
      <c r="P500"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500" s="9"/>
      <c r="R500" s="9"/>
      <c r="S500" s="38"/>
      <c r="T500" s="38"/>
      <c r="U500" s="38"/>
      <c r="V500" s="38"/>
      <c r="W500" s="38"/>
      <c r="X500" s="67" t="str">
        <f>IF(COUNTA(SalCommune[[#This Row],[N°]:[heures annuelles
selon contrat(s)]])=0,"",SalCommune[[#This Row],[Brut]]+SalCommune[[#This Row],[Autres Primes]]+SalCommune[[#This Row],[Part patronale]]-ABS(SalCommune[[#This Row],[Remboursement Mutualité]])-ABS(SalCommune[[#This Row],[Remboursement
Autres]]))</f>
        <v/>
      </c>
      <c r="Y500" s="38"/>
      <c r="Z500"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500" s="8"/>
      <c r="AB500" s="64"/>
      <c r="AC500"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500"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500" s="505"/>
      <c r="AF500" s="187"/>
      <c r="AG500" s="200" t="str">
        <f>IF(COUNTA(SalCommune[[#This Row],[N°]:[heures annuelles
selon contrat(s)]])=0,"",REVEX!$E$9)</f>
        <v/>
      </c>
      <c r="AH500" s="73" t="str">
        <f>IF(SalCommune[[#This Row],[Allocations fonctions]]="","",IF(ISNA(VLOOKUP(SalCommune[[#This Row],[Allocations fonctions]],DROPDOWN[Dropdown82],1,FALSE))=TRUE,"&lt;-- Veuillez choisir l'allocation parmis la liste déroulante.",""))</f>
        <v/>
      </c>
    </row>
    <row r="501" spans="1:34" x14ac:dyDescent="0.25">
      <c r="A501" s="73" t="str">
        <f>IF(SalCommune[[#This Row],[Statut]]="","",IF(ISNA(VLOOKUP(SalCommune[[#This Row],[Statut]],'Grille communale'!$B$3:$B$5,1,FALSE))=TRUE,"Veuillez choisir le statut parmis la liste déroulante",""))</f>
        <v/>
      </c>
      <c r="B501" s="8"/>
      <c r="C501" s="8"/>
      <c r="D501" s="8"/>
      <c r="E501" s="21"/>
      <c r="F501" s="8"/>
      <c r="G501" s="8"/>
      <c r="H501" s="9"/>
      <c r="I501" s="9"/>
      <c r="J501" s="9"/>
      <c r="K501" s="10"/>
      <c r="L501" s="10"/>
      <c r="M501" s="9"/>
      <c r="N501" s="9"/>
      <c r="O501" s="9"/>
      <c r="P501"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501" s="9"/>
      <c r="R501" s="9"/>
      <c r="S501" s="38"/>
      <c r="T501" s="38"/>
      <c r="U501" s="38"/>
      <c r="V501" s="38"/>
      <c r="W501" s="38"/>
      <c r="X501" s="67" t="str">
        <f>IF(COUNTA(SalCommune[[#This Row],[N°]:[heures annuelles
selon contrat(s)]])=0,"",SalCommune[[#This Row],[Brut]]+SalCommune[[#This Row],[Autres Primes]]+SalCommune[[#This Row],[Part patronale]]-ABS(SalCommune[[#This Row],[Remboursement Mutualité]])-ABS(SalCommune[[#This Row],[Remboursement
Autres]]))</f>
        <v/>
      </c>
      <c r="Y501" s="38"/>
      <c r="Z501"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501" s="8"/>
      <c r="AB501" s="64"/>
      <c r="AC501"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501"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501" s="505"/>
      <c r="AF501" s="187"/>
      <c r="AG501" s="200" t="str">
        <f>IF(COUNTA(SalCommune[[#This Row],[N°]:[heures annuelles
selon contrat(s)]])=0,"",REVEX!$E$9)</f>
        <v/>
      </c>
      <c r="AH501" s="73" t="str">
        <f>IF(SalCommune[[#This Row],[Allocations fonctions]]="","",IF(ISNA(VLOOKUP(SalCommune[[#This Row],[Allocations fonctions]],DROPDOWN[Dropdown82],1,FALSE))=TRUE,"&lt;-- Veuillez choisir l'allocation parmis la liste déroulante.",""))</f>
        <v/>
      </c>
    </row>
    <row r="502" spans="1:34" x14ac:dyDescent="0.25">
      <c r="A502" s="73" t="str">
        <f>IF(SalCommune[[#This Row],[Statut]]="","",IF(ISNA(VLOOKUP(SalCommune[[#This Row],[Statut]],'Grille communale'!$B$3:$B$5,1,FALSE))=TRUE,"Veuillez choisir le statut parmis la liste déroulante",""))</f>
        <v/>
      </c>
      <c r="B502" s="8"/>
      <c r="C502" s="8"/>
      <c r="D502" s="8"/>
      <c r="E502" s="21"/>
      <c r="F502" s="8"/>
      <c r="G502" s="8"/>
      <c r="H502" s="9"/>
      <c r="I502" s="9"/>
      <c r="J502" s="9"/>
      <c r="K502" s="10"/>
      <c r="L502" s="10"/>
      <c r="M502" s="9"/>
      <c r="N502" s="9"/>
      <c r="O502" s="9"/>
      <c r="P502"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502" s="9"/>
      <c r="R502" s="9"/>
      <c r="S502" s="38"/>
      <c r="T502" s="38"/>
      <c r="U502" s="38"/>
      <c r="V502" s="38"/>
      <c r="W502" s="38"/>
      <c r="X502" s="67" t="str">
        <f>IF(COUNTA(SalCommune[[#This Row],[N°]:[heures annuelles
selon contrat(s)]])=0,"",SalCommune[[#This Row],[Brut]]+SalCommune[[#This Row],[Autres Primes]]+SalCommune[[#This Row],[Part patronale]]-ABS(SalCommune[[#This Row],[Remboursement Mutualité]])-ABS(SalCommune[[#This Row],[Remboursement
Autres]]))</f>
        <v/>
      </c>
      <c r="Y502" s="38"/>
      <c r="Z502"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502" s="8"/>
      <c r="AB502" s="64"/>
      <c r="AC502"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502"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502" s="505"/>
      <c r="AF502" s="187"/>
      <c r="AG502" s="200" t="str">
        <f>IF(COUNTA(SalCommune[[#This Row],[N°]:[heures annuelles
selon contrat(s)]])=0,"",REVEX!$E$9)</f>
        <v/>
      </c>
      <c r="AH502" s="73" t="str">
        <f>IF(SalCommune[[#This Row],[Allocations fonctions]]="","",IF(ISNA(VLOOKUP(SalCommune[[#This Row],[Allocations fonctions]],DROPDOWN[Dropdown82],1,FALSE))=TRUE,"&lt;-- Veuillez choisir l'allocation parmis la liste déroulante.",""))</f>
        <v/>
      </c>
    </row>
    <row r="503" spans="1:34" x14ac:dyDescent="0.25">
      <c r="A503" s="73" t="str">
        <f>IF(SalCommune[[#This Row],[Statut]]="","",IF(ISNA(VLOOKUP(SalCommune[[#This Row],[Statut]],'Grille communale'!$B$3:$B$5,1,FALSE))=TRUE,"Veuillez choisir le statut parmis la liste déroulante",""))</f>
        <v/>
      </c>
      <c r="B503" s="8"/>
      <c r="C503" s="8"/>
      <c r="D503" s="8"/>
      <c r="E503" s="21"/>
      <c r="F503" s="8"/>
      <c r="G503" s="8"/>
      <c r="H503" s="9"/>
      <c r="I503" s="9"/>
      <c r="J503" s="9"/>
      <c r="K503" s="10"/>
      <c r="L503" s="10"/>
      <c r="M503" s="9"/>
      <c r="N503" s="9"/>
      <c r="O503" s="9"/>
      <c r="P503"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503" s="9"/>
      <c r="R503" s="9"/>
      <c r="S503" s="38"/>
      <c r="T503" s="38"/>
      <c r="U503" s="38"/>
      <c r="V503" s="38"/>
      <c r="W503" s="38"/>
      <c r="X503" s="67" t="str">
        <f>IF(COUNTA(SalCommune[[#This Row],[N°]:[heures annuelles
selon contrat(s)]])=0,"",SalCommune[[#This Row],[Brut]]+SalCommune[[#This Row],[Autres Primes]]+SalCommune[[#This Row],[Part patronale]]-ABS(SalCommune[[#This Row],[Remboursement Mutualité]])-ABS(SalCommune[[#This Row],[Remboursement
Autres]]))</f>
        <v/>
      </c>
      <c r="Y503" s="38"/>
      <c r="Z503"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503" s="8"/>
      <c r="AB503" s="64"/>
      <c r="AC503"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503"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503" s="505"/>
      <c r="AF503" s="187"/>
      <c r="AG503" s="200" t="str">
        <f>IF(COUNTA(SalCommune[[#This Row],[N°]:[heures annuelles
selon contrat(s)]])=0,"",REVEX!$E$9)</f>
        <v/>
      </c>
      <c r="AH503" s="73" t="str">
        <f>IF(SalCommune[[#This Row],[Allocations fonctions]]="","",IF(ISNA(VLOOKUP(SalCommune[[#This Row],[Allocations fonctions]],DROPDOWN[Dropdown82],1,FALSE))=TRUE,"&lt;-- Veuillez choisir l'allocation parmis la liste déroulante.",""))</f>
        <v/>
      </c>
    </row>
    <row r="504" spans="1:34" x14ac:dyDescent="0.25">
      <c r="A504" s="73" t="str">
        <f>IF(SalCommune[[#This Row],[Statut]]="","",IF(ISNA(VLOOKUP(SalCommune[[#This Row],[Statut]],'Grille communale'!$B$3:$B$5,1,FALSE))=TRUE,"Veuillez choisir le statut parmis la liste déroulante",""))</f>
        <v/>
      </c>
      <c r="B504" s="8"/>
      <c r="C504" s="8"/>
      <c r="D504" s="8"/>
      <c r="E504" s="21"/>
      <c r="F504" s="8"/>
      <c r="G504" s="8"/>
      <c r="H504" s="9"/>
      <c r="I504" s="9"/>
      <c r="J504" s="9"/>
      <c r="K504" s="10"/>
      <c r="L504" s="10"/>
      <c r="M504" s="9"/>
      <c r="N504" s="9"/>
      <c r="O504" s="9"/>
      <c r="P504"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504" s="9"/>
      <c r="R504" s="9"/>
      <c r="S504" s="38"/>
      <c r="T504" s="38"/>
      <c r="U504" s="38"/>
      <c r="V504" s="38"/>
      <c r="W504" s="38"/>
      <c r="X504" s="67" t="str">
        <f>IF(COUNTA(SalCommune[[#This Row],[N°]:[heures annuelles
selon contrat(s)]])=0,"",SalCommune[[#This Row],[Brut]]+SalCommune[[#This Row],[Autres Primes]]+SalCommune[[#This Row],[Part patronale]]-ABS(SalCommune[[#This Row],[Remboursement Mutualité]])-ABS(SalCommune[[#This Row],[Remboursement
Autres]]))</f>
        <v/>
      </c>
      <c r="Y504" s="38"/>
      <c r="Z504"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504" s="8"/>
      <c r="AB504" s="64"/>
      <c r="AC504"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504"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504" s="505"/>
      <c r="AF504" s="187"/>
      <c r="AG504" s="200" t="str">
        <f>IF(COUNTA(SalCommune[[#This Row],[N°]:[heures annuelles
selon contrat(s)]])=0,"",REVEX!$E$9)</f>
        <v/>
      </c>
      <c r="AH504" s="73" t="str">
        <f>IF(SalCommune[[#This Row],[Allocations fonctions]]="","",IF(ISNA(VLOOKUP(SalCommune[[#This Row],[Allocations fonctions]],DROPDOWN[Dropdown82],1,FALSE))=TRUE,"&lt;-- Veuillez choisir l'allocation parmis la liste déroulante.",""))</f>
        <v/>
      </c>
    </row>
    <row r="505" spans="1:34" x14ac:dyDescent="0.25">
      <c r="A505" s="73" t="str">
        <f>IF(SalCommune[[#This Row],[Statut]]="","",IF(ISNA(VLOOKUP(SalCommune[[#This Row],[Statut]],'Grille communale'!$B$3:$B$5,1,FALSE))=TRUE,"Veuillez choisir le statut parmis la liste déroulante",""))</f>
        <v/>
      </c>
      <c r="B505" s="8"/>
      <c r="C505" s="8"/>
      <c r="D505" s="8"/>
      <c r="E505" s="21"/>
      <c r="F505" s="8"/>
      <c r="G505" s="8"/>
      <c r="H505" s="9"/>
      <c r="I505" s="9"/>
      <c r="J505" s="9"/>
      <c r="K505" s="10"/>
      <c r="L505" s="10"/>
      <c r="M505" s="9"/>
      <c r="N505" s="9"/>
      <c r="O505" s="9"/>
      <c r="P505"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505" s="9"/>
      <c r="R505" s="9"/>
      <c r="S505" s="38"/>
      <c r="T505" s="38"/>
      <c r="U505" s="38"/>
      <c r="V505" s="38"/>
      <c r="W505" s="38"/>
      <c r="X505" s="67" t="str">
        <f>IF(COUNTA(SalCommune[[#This Row],[N°]:[heures annuelles
selon contrat(s)]])=0,"",SalCommune[[#This Row],[Brut]]+SalCommune[[#This Row],[Autres Primes]]+SalCommune[[#This Row],[Part patronale]]-ABS(SalCommune[[#This Row],[Remboursement Mutualité]])-ABS(SalCommune[[#This Row],[Remboursement
Autres]]))</f>
        <v/>
      </c>
      <c r="Y505" s="38"/>
      <c r="Z505"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505" s="8"/>
      <c r="AB505" s="64"/>
      <c r="AC505"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505"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505" s="505"/>
      <c r="AF505" s="187"/>
      <c r="AG505" s="200" t="str">
        <f>IF(COUNTA(SalCommune[[#This Row],[N°]:[heures annuelles
selon contrat(s)]])=0,"",REVEX!$E$9)</f>
        <v/>
      </c>
      <c r="AH505" s="73" t="str">
        <f>IF(SalCommune[[#This Row],[Allocations fonctions]]="","",IF(ISNA(VLOOKUP(SalCommune[[#This Row],[Allocations fonctions]],DROPDOWN[Dropdown82],1,FALSE))=TRUE,"&lt;-- Veuillez choisir l'allocation parmis la liste déroulante.",""))</f>
        <v/>
      </c>
    </row>
    <row r="506" spans="1:34" x14ac:dyDescent="0.25">
      <c r="A506" s="73" t="str">
        <f>IF(SalCommune[[#This Row],[Statut]]="","",IF(ISNA(VLOOKUP(SalCommune[[#This Row],[Statut]],'Grille communale'!$B$3:$B$5,1,FALSE))=TRUE,"Veuillez choisir le statut parmis la liste déroulante",""))</f>
        <v/>
      </c>
      <c r="B506" s="8"/>
      <c r="C506" s="8"/>
      <c r="D506" s="8"/>
      <c r="E506" s="21"/>
      <c r="F506" s="8"/>
      <c r="G506" s="8"/>
      <c r="H506" s="9"/>
      <c r="I506" s="9"/>
      <c r="J506" s="9"/>
      <c r="K506" s="10"/>
      <c r="L506" s="10"/>
      <c r="M506" s="9"/>
      <c r="N506" s="9"/>
      <c r="O506" s="9"/>
      <c r="P506"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506" s="9"/>
      <c r="R506" s="9"/>
      <c r="S506" s="38"/>
      <c r="T506" s="38"/>
      <c r="U506" s="38"/>
      <c r="V506" s="38"/>
      <c r="W506" s="38"/>
      <c r="X506" s="67" t="str">
        <f>IF(COUNTA(SalCommune[[#This Row],[N°]:[heures annuelles
selon contrat(s)]])=0,"",SalCommune[[#This Row],[Brut]]+SalCommune[[#This Row],[Autres Primes]]+SalCommune[[#This Row],[Part patronale]]-ABS(SalCommune[[#This Row],[Remboursement Mutualité]])-ABS(SalCommune[[#This Row],[Remboursement
Autres]]))</f>
        <v/>
      </c>
      <c r="Y506" s="38"/>
      <c r="Z506"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506" s="8"/>
      <c r="AB506" s="64"/>
      <c r="AC506"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506"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506" s="505"/>
      <c r="AF506" s="187"/>
      <c r="AG506" s="200" t="str">
        <f>IF(COUNTA(SalCommune[[#This Row],[N°]:[heures annuelles
selon contrat(s)]])=0,"",REVEX!$E$9)</f>
        <v/>
      </c>
      <c r="AH506" s="73" t="str">
        <f>IF(SalCommune[[#This Row],[Allocations fonctions]]="","",IF(ISNA(VLOOKUP(SalCommune[[#This Row],[Allocations fonctions]],DROPDOWN[Dropdown82],1,FALSE))=TRUE,"&lt;-- Veuillez choisir l'allocation parmis la liste déroulante.",""))</f>
        <v/>
      </c>
    </row>
    <row r="507" spans="1:34" x14ac:dyDescent="0.25">
      <c r="A507" s="73" t="str">
        <f>IF(SalCommune[[#This Row],[Statut]]="","",IF(ISNA(VLOOKUP(SalCommune[[#This Row],[Statut]],'Grille communale'!$B$3:$B$5,1,FALSE))=TRUE,"Veuillez choisir le statut parmis la liste déroulante",""))</f>
        <v/>
      </c>
      <c r="B507" s="8"/>
      <c r="C507" s="8"/>
      <c r="D507" s="8"/>
      <c r="E507" s="21"/>
      <c r="F507" s="8"/>
      <c r="G507" s="8"/>
      <c r="H507" s="9"/>
      <c r="I507" s="9"/>
      <c r="J507" s="9"/>
      <c r="K507" s="10"/>
      <c r="L507" s="10"/>
      <c r="M507" s="9"/>
      <c r="N507" s="9"/>
      <c r="O507" s="9"/>
      <c r="P507"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507" s="9"/>
      <c r="R507" s="9"/>
      <c r="S507" s="38"/>
      <c r="T507" s="38"/>
      <c r="U507" s="38"/>
      <c r="V507" s="38"/>
      <c r="W507" s="38"/>
      <c r="X507" s="67" t="str">
        <f>IF(COUNTA(SalCommune[[#This Row],[N°]:[heures annuelles
selon contrat(s)]])=0,"",SalCommune[[#This Row],[Brut]]+SalCommune[[#This Row],[Autres Primes]]+SalCommune[[#This Row],[Part patronale]]-ABS(SalCommune[[#This Row],[Remboursement Mutualité]])-ABS(SalCommune[[#This Row],[Remboursement
Autres]]))</f>
        <v/>
      </c>
      <c r="Y507" s="38"/>
      <c r="Z507"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507" s="8"/>
      <c r="AB507" s="64"/>
      <c r="AC507"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507"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507" s="505"/>
      <c r="AF507" s="187"/>
      <c r="AG507" s="200" t="str">
        <f>IF(COUNTA(SalCommune[[#This Row],[N°]:[heures annuelles
selon contrat(s)]])=0,"",REVEX!$E$9)</f>
        <v/>
      </c>
      <c r="AH507" s="73" t="str">
        <f>IF(SalCommune[[#This Row],[Allocations fonctions]]="","",IF(ISNA(VLOOKUP(SalCommune[[#This Row],[Allocations fonctions]],DROPDOWN[Dropdown82],1,FALSE))=TRUE,"&lt;-- Veuillez choisir l'allocation parmis la liste déroulante.",""))</f>
        <v/>
      </c>
    </row>
    <row r="508" spans="1:34" x14ac:dyDescent="0.25">
      <c r="A508" s="73" t="str">
        <f>IF(SalCommune[[#This Row],[Statut]]="","",IF(ISNA(VLOOKUP(SalCommune[[#This Row],[Statut]],'Grille communale'!$B$3:$B$5,1,FALSE))=TRUE,"Veuillez choisir le statut parmis la liste déroulante",""))</f>
        <v/>
      </c>
      <c r="B508" s="8"/>
      <c r="C508" s="8"/>
      <c r="D508" s="8"/>
      <c r="E508" s="21"/>
      <c r="F508" s="8"/>
      <c r="G508" s="8"/>
      <c r="H508" s="9"/>
      <c r="I508" s="9"/>
      <c r="J508" s="9"/>
      <c r="K508" s="10"/>
      <c r="L508" s="10"/>
      <c r="M508" s="9"/>
      <c r="N508" s="9"/>
      <c r="O508" s="9"/>
      <c r="P508"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508" s="9"/>
      <c r="R508" s="9"/>
      <c r="S508" s="38"/>
      <c r="T508" s="38"/>
      <c r="U508" s="38"/>
      <c r="V508" s="38"/>
      <c r="W508" s="38"/>
      <c r="X508" s="67" t="str">
        <f>IF(COUNTA(SalCommune[[#This Row],[N°]:[heures annuelles
selon contrat(s)]])=0,"",SalCommune[[#This Row],[Brut]]+SalCommune[[#This Row],[Autres Primes]]+SalCommune[[#This Row],[Part patronale]]-ABS(SalCommune[[#This Row],[Remboursement Mutualité]])-ABS(SalCommune[[#This Row],[Remboursement
Autres]]))</f>
        <v/>
      </c>
      <c r="Y508" s="38"/>
      <c r="Z508"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508" s="8"/>
      <c r="AB508" s="64"/>
      <c r="AC508"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508"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508" s="505"/>
      <c r="AF508" s="187"/>
      <c r="AG508" s="200" t="str">
        <f>IF(COUNTA(SalCommune[[#This Row],[N°]:[heures annuelles
selon contrat(s)]])=0,"",REVEX!$E$9)</f>
        <v/>
      </c>
      <c r="AH508" s="73" t="str">
        <f>IF(SalCommune[[#This Row],[Allocations fonctions]]="","",IF(ISNA(VLOOKUP(SalCommune[[#This Row],[Allocations fonctions]],DROPDOWN[Dropdown82],1,FALSE))=TRUE,"&lt;-- Veuillez choisir l'allocation parmis la liste déroulante.",""))</f>
        <v/>
      </c>
    </row>
    <row r="509" spans="1:34" x14ac:dyDescent="0.25">
      <c r="A509" s="73" t="str">
        <f>IF(SalCommune[[#This Row],[Statut]]="","",IF(ISNA(VLOOKUP(SalCommune[[#This Row],[Statut]],'Grille communale'!$B$3:$B$5,1,FALSE))=TRUE,"Veuillez choisir le statut parmis la liste déroulante",""))</f>
        <v/>
      </c>
      <c r="B509" s="8"/>
      <c r="C509" s="8"/>
      <c r="D509" s="8"/>
      <c r="E509" s="21"/>
      <c r="F509" s="8"/>
      <c r="G509" s="8"/>
      <c r="H509" s="9"/>
      <c r="I509" s="9"/>
      <c r="J509" s="9"/>
      <c r="K509" s="10"/>
      <c r="L509" s="10"/>
      <c r="M509" s="9"/>
      <c r="N509" s="9"/>
      <c r="O509" s="9"/>
      <c r="P509"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509" s="9"/>
      <c r="R509" s="9"/>
      <c r="S509" s="38"/>
      <c r="T509" s="38"/>
      <c r="U509" s="38"/>
      <c r="V509" s="38"/>
      <c r="W509" s="38"/>
      <c r="X509" s="67" t="str">
        <f>IF(COUNTA(SalCommune[[#This Row],[N°]:[heures annuelles
selon contrat(s)]])=0,"",SalCommune[[#This Row],[Brut]]+SalCommune[[#This Row],[Autres Primes]]+SalCommune[[#This Row],[Part patronale]]-ABS(SalCommune[[#This Row],[Remboursement Mutualité]])-ABS(SalCommune[[#This Row],[Remboursement
Autres]]))</f>
        <v/>
      </c>
      <c r="Y509" s="38"/>
      <c r="Z509" s="67"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509" s="8"/>
      <c r="AB509" s="64"/>
      <c r="AC509"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509"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509" s="505"/>
      <c r="AF509" s="187"/>
      <c r="AG509" s="200" t="str">
        <f>IF(COUNTA(SalCommune[[#This Row],[N°]:[heures annuelles
selon contrat(s)]])=0,"",REVEX!$E$9)</f>
        <v/>
      </c>
      <c r="AH509" s="73" t="str">
        <f>IF(SalCommune[[#This Row],[Allocations fonctions]]="","",IF(ISNA(VLOOKUP(SalCommune[[#This Row],[Allocations fonctions]],DROPDOWN[Dropdown82],1,FALSE))=TRUE,"&lt;-- Veuillez choisir l'allocation parmis la liste déroulante.",""))</f>
        <v/>
      </c>
    </row>
    <row r="510" spans="1:34" x14ac:dyDescent="0.25">
      <c r="A510" s="73" t="str">
        <f>IF(SalCommune[[#This Row],[Statut]]="","",IF(ISNA(VLOOKUP(SalCommune[[#This Row],[Statut]],'Grille communale'!$B$3:$B$5,1,FALSE))=TRUE,"Veuillez choisir le statut parmis la liste déroulante",""))</f>
        <v/>
      </c>
      <c r="B510" s="8"/>
      <c r="C510" s="8"/>
      <c r="D510" s="8"/>
      <c r="E510" s="21"/>
      <c r="F510" s="8"/>
      <c r="G510" s="8"/>
      <c r="H510" s="9"/>
      <c r="I510" s="9"/>
      <c r="J510" s="9"/>
      <c r="K510" s="10"/>
      <c r="L510" s="10"/>
      <c r="M510" s="9"/>
      <c r="N510" s="9"/>
      <c r="O510" s="9"/>
      <c r="P510" s="65" t="str">
        <f>IF(COUNTA(SalCommune[[#This Row],[N°]:[heures annuelles
selon contrat(s)]])=0,"",IF(LEFT(SalCommune[[#This Row],[Statut]])="S",((SalCommune[[#This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Row],[Autres heures 
d''absences motivées]]-SalCommune[[#This Row],[Heures de maladie]])/2080)*RTT!$E$18,((SalCommune[[#This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de congé de maternité]]-SalCommune[[#This Row],[Autres heures 
d''absences motivées]])/2080)*RTT!$F$18))</f>
        <v/>
      </c>
      <c r="Q510" s="9"/>
      <c r="R510" s="9"/>
      <c r="S510" s="38"/>
      <c r="T510" s="38"/>
      <c r="U510" s="38"/>
      <c r="V510" s="38"/>
      <c r="W510" s="38"/>
      <c r="X510" s="68" t="str">
        <f>IF(COUNTA(SalCommune[[#This Row],[N°]:[heures annuelles
selon contrat(s)]])=0,"",SalCommune[[#This Row],[Brut]]+SalCommune[[#This Row],[Autres Primes]]+SalCommune[[#This Row],[Part patronale]]-ABS(SalCommune[[#This Row],[Remboursement Mutualité]])-ABS(SalCommune[[#This Row],[Remboursement
Autres]]))</f>
        <v/>
      </c>
      <c r="Y510" s="38"/>
      <c r="Z510" s="68" t="str">
        <f>IF(COUNTA(SalCommune[[#This Row],[N°]:[heures annuelles
selon contrat(s)]])=0,"",IF(SalCommune[[#This Row],[heures annuelles
selon contrat(s)]]=0,SalCommune[[#This Row],[Total global]]-ABS(SalCommune[[#This Row],[Dont non opposable]]),((SalCommune[[#This Row],[heures annuelles
selon contrat(s)]]-SalCommune[[#This Row],[dont heures prestées en COVID entre 8:00 et 13:00 pendant la période scolaire
(période du 25/05/2020 - 15/07/2020)]]-SalCommune[[#This Row],[dont heures additionnelles Avenant / personnel engagé spécifique COVID jusqu''au 31/12/2020]])/SalCommune[[#This Row],[heures annuelles
selon contrat(s)]])*(SalCommune[[#This Row],[Total global]]-ABS(SalCommune[[#This Row],[Dont non opposable]]))))</f>
        <v/>
      </c>
      <c r="AA510" s="8"/>
      <c r="AB510" s="64"/>
      <c r="AC510" s="505" t="str">
        <f>IF(SalCommune[[#This Row],[dont heures prestées en COVID entre 8:00 et 13:00 pendant la période scolaire
(période du 25/05/2020 - 15/07/2020)]]="","",(SalCommune[[#This Row],[dont heures prestées en COVID entre 8:00 et 13:00 pendant la période scolaire
(période du 25/05/2020 - 15/07/2020)]]/SalCommune[[#This Row],[heures annuelles
selon contrat(s)]])*(SalCommune[[#This Row],[Total global]]-ABS(SalCommune[[#This Row],[Dont non opposable]])))</f>
        <v/>
      </c>
      <c r="AD510" s="505" t="str">
        <f>IF(SalCommune[[#This Row],[dont heures additionnelles Avenant / personnel engagé spécifique COVID jusqu''au 31/12/2020]]="","",(SalCommune[[#This Row],[dont heures additionnelles Avenant / personnel engagé spécifique COVID jusqu''au 31/12/2020]]/SalCommune[[#This Row],[heures annuelles
selon contrat(s)]])*(SalCommune[[#This Row],[Total global]]-ABS(SalCommune[[#This Row],[Dont non opposable]])))</f>
        <v/>
      </c>
      <c r="AE510" s="505"/>
      <c r="AF510" s="187"/>
      <c r="AG510" s="200" t="str">
        <f>IF(COUNTA(SalCommune[[#This Row],[N°]:[heures annuelles
selon contrat(s)]])=0,"",REVEX!$E$9)</f>
        <v/>
      </c>
      <c r="AH510" s="73" t="str">
        <f>IF(SalCommune[[#This Row],[Allocations fonctions]]="","",IF(ISNA(VLOOKUP(SalCommune[[#This Row],[Allocations fonctions]],DROPDOWN[Dropdown82],1,FALSE))=TRUE,"&lt;-- Veuillez choisir l'allocation parmis la liste déroulante.",""))</f>
        <v/>
      </c>
    </row>
    <row r="511" spans="1:34" x14ac:dyDescent="0.25">
      <c r="B511" s="8" t="s">
        <v>33</v>
      </c>
      <c r="C511" s="8"/>
      <c r="D511" s="8"/>
      <c r="E511" s="8"/>
      <c r="F511" s="8"/>
      <c r="G511" s="8"/>
      <c r="H511" s="40"/>
      <c r="I511" s="8"/>
      <c r="J511" s="8"/>
      <c r="K511" s="8"/>
      <c r="L511" s="8"/>
      <c r="M511" s="195">
        <f>SUBTOTAL(109,SalCommune[heures annuelles
selon contrat(s)])</f>
        <v>0</v>
      </c>
      <c r="N511" s="195"/>
      <c r="O511" s="195"/>
      <c r="P511" s="195">
        <f>SUBTOTAL(109,SalCommune[Heures annuelles RTT])</f>
        <v>0</v>
      </c>
      <c r="Q511" s="195">
        <f>SUBTOTAL(109,SalCommune[Heures de maladie])</f>
        <v>0</v>
      </c>
      <c r="R511" s="195"/>
      <c r="S511" s="196">
        <f>SUBTOTAL(109,SalCommune[Brut])</f>
        <v>0</v>
      </c>
      <c r="T511" s="196">
        <f>SUBTOTAL(109,SalCommune[Autres Primes])</f>
        <v>0</v>
      </c>
      <c r="U511" s="196">
        <f>SUBTOTAL(109,SalCommune[Part patronale])</f>
        <v>0</v>
      </c>
      <c r="V511" s="196">
        <f>SUBTOTAL(109,SalCommune[Remboursement Mutualité])</f>
        <v>0</v>
      </c>
      <c r="W511" s="196">
        <f>SUBTOTAL(109,SalCommune[Remboursement
Autres])</f>
        <v>0</v>
      </c>
      <c r="X511" s="196">
        <f>SUBTOTAL(109,SalCommune[Total global])</f>
        <v>0</v>
      </c>
      <c r="Y511" s="196">
        <f>SUBTOTAL(109,SalCommune[Dont non opposable])</f>
        <v>0</v>
      </c>
      <c r="Z511" s="196">
        <f>SUBTOTAL(109,SalCommune[Total éligible])</f>
        <v>0</v>
      </c>
      <c r="AA511" s="8"/>
      <c r="AB511" s="76"/>
      <c r="AC511" s="506"/>
      <c r="AD511" s="506"/>
      <c r="AE511" s="506"/>
      <c r="AF511" s="8"/>
      <c r="AG511" s="7"/>
    </row>
  </sheetData>
  <sheetProtection algorithmName="SHA-512" hashValue="FhbOB6rWh7ux7mg7upAasGxDstXbvF1YEc2suQdHdQI4hmLtPNMqi8+cJYcVa+y6hRsmZkmxcAHCD7xdWXfklw==" saltValue="MxXeN1/+D/dTeOdiHj2o1w==" spinCount="100000" sheet="1" selectLockedCells="1" autoFilter="0"/>
  <dataValidations count="2">
    <dataValidation type="list" allowBlank="1" showInputMessage="1" showErrorMessage="1" sqref="G7:G510" xr:uid="{00000000-0002-0000-0700-000000000000}">
      <formula1>INDIRECT(F7)</formula1>
    </dataValidation>
    <dataValidation type="whole" allowBlank="1" showInputMessage="1" showErrorMessage="1" errorTitle="Matricule" error="Veuillez renseigner la matricule sous le format suivant: 2018123112345" promptTitle="Matricule" prompt="Veuillez renseigner la matricule sous le format suivant: 2018123112345" sqref="E7:E510" xr:uid="{00000000-0002-0000-0700-000001000000}">
      <formula1>1000000000000</formula1>
      <formula2>9999999999999</formula2>
    </dataValidation>
  </dataValidations>
  <pageMargins left="0.7" right="0.7" top="0.75" bottom="0.75" header="0.3" footer="0.3"/>
  <pageSetup paperSize="9" scale="23" fitToHeight="0" orientation="landscape" r:id="rId1"/>
  <drawing r:id="rId2"/>
  <tableParts count="1">
    <tablePart r:id="rId3"/>
  </tableParts>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700-000003000000}">
          <x14:formula1>
            <xm:f>'Information générales 2'!$C$8:$C$47</xm:f>
          </x14:formula1>
          <xm:sqref>AA7:AA510</xm:sqref>
        </x14:dataValidation>
        <x14:dataValidation type="list" allowBlank="1" showInputMessage="1" showErrorMessage="1" xr:uid="{00000000-0002-0000-0700-000004000000}">
          <x14:formula1>
            <xm:f>'Variable et Dropdowns'!$H$2:$H$18</xm:f>
          </x14:formula1>
          <xm:sqref>AB7:AB510</xm:sqref>
        </x14:dataValidation>
        <x14:dataValidation type="list" allowBlank="1" showInputMessage="1" showErrorMessage="1" xr:uid="{00000000-0002-0000-0700-000005000000}">
          <x14:formula1>
            <xm:f>'Variable et Dropdowns'!$K$2:$K$7</xm:f>
          </x14:formula1>
          <xm:sqref>AE7:AE510</xm:sqref>
        </x14:dataValidation>
        <x14:dataValidation type="list" allowBlank="1" showInputMessage="1" showErrorMessage="1" xr:uid="{00000000-0002-0000-0700-000006000000}">
          <x14:formula1>
            <xm:f>'Grille communale'!$D$2:$F$2</xm:f>
          </x14:formula1>
          <xm:sqref>F7:F510</xm:sqref>
        </x14:dataValidation>
        <x14:dataValidation type="date" allowBlank="1" showInputMessage="1" showErrorMessage="1" xr:uid="{A9525FDB-69A0-4A2B-A3CF-D6E9608F499F}">
          <x14:formula1>
            <xm:f>DATE('Informations générales 1'!$C$10,1,1)</xm:f>
          </x14:formula1>
          <x14:formula2>
            <xm:f>DATE('Informations générales 1'!$C$10,12,31)</xm:f>
          </x14:formula2>
          <xm:sqref>K7:L510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theme="8" tint="0.59999389629810485"/>
    <pageSetUpPr fitToPage="1"/>
  </sheetPr>
  <dimension ref="B1:G101"/>
  <sheetViews>
    <sheetView zoomScale="85" zoomScaleNormal="85" workbookViewId="0">
      <selection activeCell="B9" sqref="B9"/>
    </sheetView>
  </sheetViews>
  <sheetFormatPr defaultColWidth="9.140625" defaultRowHeight="15" x14ac:dyDescent="0.25"/>
  <cols>
    <col min="1" max="1" width="9.140625" style="2"/>
    <col min="2" max="2" width="20.5703125" style="2" customWidth="1"/>
    <col min="3" max="3" width="46.42578125" style="2" customWidth="1"/>
    <col min="4" max="4" width="20.7109375" style="452" customWidth="1"/>
    <col min="5" max="5" width="37.42578125" style="2" bestFit="1" customWidth="1"/>
    <col min="6" max="6" width="75.42578125" style="2" hidden="1" customWidth="1"/>
    <col min="7" max="7" width="15.28515625" style="2" customWidth="1"/>
    <col min="8" max="16384" width="9.140625" style="2"/>
  </cols>
  <sheetData>
    <row r="1" spans="2:7" x14ac:dyDescent="0.25">
      <c r="B1" s="11" t="str">
        <f>'Informations générales 1'!B7</f>
        <v>DECOMPTE ANNUEL</v>
      </c>
    </row>
    <row r="2" spans="2:7" x14ac:dyDescent="0.25">
      <c r="B2" s="11" t="str">
        <f>'Informations générales 1'!C20&amp;" - "&amp;'Informations générales 1'!C24</f>
        <v>Nom Gestionnaire - Nom SEA</v>
      </c>
    </row>
    <row r="3" spans="2:7" x14ac:dyDescent="0.25">
      <c r="B3" s="20">
        <f>'Informations générales 1'!C10</f>
        <v>2020</v>
      </c>
    </row>
    <row r="5" spans="2:7" x14ac:dyDescent="0.25">
      <c r="B5" s="11" t="str">
        <f>"DETAIL DES RECETTES "&amp;B3</f>
        <v>DETAIL DES RECETTES 2020</v>
      </c>
    </row>
    <row r="7" spans="2:7" x14ac:dyDescent="0.25">
      <c r="C7" s="72" t="s">
        <v>33</v>
      </c>
      <c r="D7" s="457">
        <f>Recettes[[#Totals],[Montant]]</f>
        <v>0</v>
      </c>
    </row>
    <row r="8" spans="2:7" x14ac:dyDescent="0.25">
      <c r="B8" s="29" t="s">
        <v>94</v>
      </c>
      <c r="C8" s="29" t="s">
        <v>95</v>
      </c>
      <c r="D8" s="454" t="s">
        <v>96</v>
      </c>
      <c r="E8" s="29" t="s">
        <v>417</v>
      </c>
      <c r="F8" s="29" t="s">
        <v>373</v>
      </c>
      <c r="G8" s="29" t="s">
        <v>98</v>
      </c>
    </row>
    <row r="9" spans="2:7" x14ac:dyDescent="0.25">
      <c r="B9" s="8"/>
      <c r="C9" s="8"/>
      <c r="D9" s="455"/>
      <c r="E9" s="252"/>
      <c r="F9" s="252"/>
      <c r="G9" s="187"/>
    </row>
    <row r="10" spans="2:7" x14ac:dyDescent="0.25">
      <c r="B10" s="8"/>
      <c r="C10" s="8"/>
      <c r="D10" s="455"/>
      <c r="E10" s="252"/>
      <c r="F10" s="252"/>
      <c r="G10" s="187"/>
    </row>
    <row r="11" spans="2:7" x14ac:dyDescent="0.25">
      <c r="B11" s="8"/>
      <c r="C11" s="8"/>
      <c r="D11" s="455"/>
      <c r="E11" s="252"/>
      <c r="F11" s="252"/>
      <c r="G11" s="187"/>
    </row>
    <row r="12" spans="2:7" x14ac:dyDescent="0.25">
      <c r="B12" s="8"/>
      <c r="C12" s="8"/>
      <c r="D12" s="455"/>
      <c r="E12" s="252"/>
      <c r="F12" s="252"/>
      <c r="G12" s="187"/>
    </row>
    <row r="13" spans="2:7" x14ac:dyDescent="0.25">
      <c r="B13" s="8"/>
      <c r="C13" s="8"/>
      <c r="D13" s="455"/>
      <c r="E13" s="252"/>
      <c r="F13" s="252"/>
      <c r="G13" s="187"/>
    </row>
    <row r="14" spans="2:7" x14ac:dyDescent="0.25">
      <c r="B14" s="8"/>
      <c r="C14" s="8"/>
      <c r="D14" s="455"/>
      <c r="E14" s="252"/>
      <c r="F14" s="252"/>
      <c r="G14" s="187"/>
    </row>
    <row r="15" spans="2:7" x14ac:dyDescent="0.25">
      <c r="B15" s="8"/>
      <c r="C15" s="8"/>
      <c r="D15" s="455"/>
      <c r="E15" s="252"/>
      <c r="F15" s="252"/>
      <c r="G15" s="187"/>
    </row>
    <row r="16" spans="2:7" x14ac:dyDescent="0.25">
      <c r="B16" s="8"/>
      <c r="C16" s="8"/>
      <c r="D16" s="455"/>
      <c r="E16" s="252"/>
      <c r="F16" s="252"/>
      <c r="G16" s="187"/>
    </row>
    <row r="17" spans="2:7" x14ac:dyDescent="0.25">
      <c r="B17" s="8"/>
      <c r="C17" s="8"/>
      <c r="D17" s="455"/>
      <c r="E17" s="252"/>
      <c r="F17" s="252"/>
      <c r="G17" s="187"/>
    </row>
    <row r="18" spans="2:7" x14ac:dyDescent="0.25">
      <c r="B18" s="8"/>
      <c r="C18" s="8"/>
      <c r="D18" s="455"/>
      <c r="E18" s="252"/>
      <c r="F18" s="252"/>
      <c r="G18" s="187"/>
    </row>
    <row r="19" spans="2:7" x14ac:dyDescent="0.25">
      <c r="B19" s="8"/>
      <c r="C19" s="8"/>
      <c r="D19" s="455"/>
      <c r="E19" s="252"/>
      <c r="F19" s="252"/>
      <c r="G19" s="187"/>
    </row>
    <row r="20" spans="2:7" x14ac:dyDescent="0.25">
      <c r="B20" s="8"/>
      <c r="C20" s="8"/>
      <c r="D20" s="455"/>
      <c r="E20" s="252"/>
      <c r="F20" s="252"/>
      <c r="G20" s="187"/>
    </row>
    <row r="21" spans="2:7" x14ac:dyDescent="0.25">
      <c r="B21" s="8"/>
      <c r="C21" s="8"/>
      <c r="D21" s="455"/>
      <c r="E21" s="252"/>
      <c r="F21" s="252"/>
      <c r="G21" s="187"/>
    </row>
    <row r="22" spans="2:7" x14ac:dyDescent="0.25">
      <c r="B22" s="8"/>
      <c r="C22" s="8"/>
      <c r="D22" s="455"/>
      <c r="E22" s="252"/>
      <c r="F22" s="252"/>
      <c r="G22" s="187"/>
    </row>
    <row r="23" spans="2:7" x14ac:dyDescent="0.25">
      <c r="B23" s="8"/>
      <c r="C23" s="8"/>
      <c r="D23" s="455"/>
      <c r="E23" s="252"/>
      <c r="F23" s="252"/>
      <c r="G23" s="187"/>
    </row>
    <row r="24" spans="2:7" x14ac:dyDescent="0.25">
      <c r="B24" s="8"/>
      <c r="C24" s="8"/>
      <c r="D24" s="455"/>
      <c r="E24" s="252"/>
      <c r="F24" s="252"/>
      <c r="G24" s="187"/>
    </row>
    <row r="25" spans="2:7" x14ac:dyDescent="0.25">
      <c r="B25" s="8"/>
      <c r="C25" s="8"/>
      <c r="D25" s="455"/>
      <c r="E25" s="252"/>
      <c r="F25" s="252"/>
      <c r="G25" s="187"/>
    </row>
    <row r="26" spans="2:7" x14ac:dyDescent="0.25">
      <c r="B26" s="8"/>
      <c r="C26" s="8"/>
      <c r="D26" s="455"/>
      <c r="E26" s="252"/>
      <c r="F26" s="252"/>
      <c r="G26" s="187"/>
    </row>
    <row r="27" spans="2:7" x14ac:dyDescent="0.25">
      <c r="B27" s="8"/>
      <c r="C27" s="8"/>
      <c r="D27" s="455"/>
      <c r="E27" s="252"/>
      <c r="F27" s="252"/>
      <c r="G27" s="187"/>
    </row>
    <row r="28" spans="2:7" x14ac:dyDescent="0.25">
      <c r="B28" s="8"/>
      <c r="C28" s="8"/>
      <c r="D28" s="455"/>
      <c r="E28" s="252"/>
      <c r="F28" s="252"/>
      <c r="G28" s="187"/>
    </row>
    <row r="29" spans="2:7" x14ac:dyDescent="0.25">
      <c r="B29" s="8"/>
      <c r="C29" s="8"/>
      <c r="D29" s="455"/>
      <c r="E29" s="252"/>
      <c r="F29" s="252"/>
      <c r="G29" s="187"/>
    </row>
    <row r="30" spans="2:7" x14ac:dyDescent="0.25">
      <c r="B30" s="8"/>
      <c r="C30" s="8"/>
      <c r="D30" s="455"/>
      <c r="E30" s="252"/>
      <c r="F30" s="252"/>
      <c r="G30" s="187"/>
    </row>
    <row r="31" spans="2:7" x14ac:dyDescent="0.25">
      <c r="B31" s="8"/>
      <c r="C31" s="8"/>
      <c r="D31" s="455"/>
      <c r="E31" s="252"/>
      <c r="F31" s="252"/>
      <c r="G31" s="187"/>
    </row>
    <row r="32" spans="2:7" x14ac:dyDescent="0.25">
      <c r="B32" s="8"/>
      <c r="C32" s="8"/>
      <c r="D32" s="455"/>
      <c r="E32" s="252"/>
      <c r="F32" s="252"/>
      <c r="G32" s="187"/>
    </row>
    <row r="33" spans="2:7" x14ac:dyDescent="0.25">
      <c r="B33" s="8"/>
      <c r="C33" s="8"/>
      <c r="D33" s="455"/>
      <c r="E33" s="252"/>
      <c r="F33" s="252"/>
      <c r="G33" s="187"/>
    </row>
    <row r="34" spans="2:7" x14ac:dyDescent="0.25">
      <c r="B34" s="8"/>
      <c r="C34" s="8"/>
      <c r="D34" s="455"/>
      <c r="E34" s="252"/>
      <c r="F34" s="252"/>
      <c r="G34" s="187"/>
    </row>
    <row r="35" spans="2:7" x14ac:dyDescent="0.25">
      <c r="B35" s="8"/>
      <c r="C35" s="8"/>
      <c r="D35" s="455"/>
      <c r="E35" s="252"/>
      <c r="F35" s="252"/>
      <c r="G35" s="187"/>
    </row>
    <row r="36" spans="2:7" x14ac:dyDescent="0.25">
      <c r="B36" s="8"/>
      <c r="C36" s="8"/>
      <c r="D36" s="455"/>
      <c r="E36" s="252"/>
      <c r="F36" s="252"/>
      <c r="G36" s="187"/>
    </row>
    <row r="37" spans="2:7" x14ac:dyDescent="0.25">
      <c r="B37" s="8"/>
      <c r="C37" s="8"/>
      <c r="D37" s="455"/>
      <c r="E37" s="252"/>
      <c r="F37" s="252"/>
      <c r="G37" s="187"/>
    </row>
    <row r="38" spans="2:7" x14ac:dyDescent="0.25">
      <c r="B38" s="8"/>
      <c r="C38" s="8"/>
      <c r="D38" s="455"/>
      <c r="E38" s="252"/>
      <c r="F38" s="252"/>
      <c r="G38" s="187"/>
    </row>
    <row r="39" spans="2:7" x14ac:dyDescent="0.25">
      <c r="B39" s="8"/>
      <c r="C39" s="8"/>
      <c r="D39" s="455"/>
      <c r="E39" s="252"/>
      <c r="F39" s="252"/>
      <c r="G39" s="187"/>
    </row>
    <row r="40" spans="2:7" x14ac:dyDescent="0.25">
      <c r="B40" s="8"/>
      <c r="C40" s="8"/>
      <c r="D40" s="455"/>
      <c r="E40" s="252"/>
      <c r="F40" s="252"/>
      <c r="G40" s="187"/>
    </row>
    <row r="41" spans="2:7" x14ac:dyDescent="0.25">
      <c r="B41" s="8"/>
      <c r="C41" s="8"/>
      <c r="D41" s="455"/>
      <c r="E41" s="252"/>
      <c r="F41" s="252"/>
      <c r="G41" s="187"/>
    </row>
    <row r="42" spans="2:7" x14ac:dyDescent="0.25">
      <c r="B42" s="8"/>
      <c r="C42" s="8"/>
      <c r="D42" s="455"/>
      <c r="E42" s="252"/>
      <c r="F42" s="252"/>
      <c r="G42" s="187"/>
    </row>
    <row r="43" spans="2:7" x14ac:dyDescent="0.25">
      <c r="B43" s="8"/>
      <c r="C43" s="8"/>
      <c r="D43" s="455"/>
      <c r="E43" s="252"/>
      <c r="F43" s="252"/>
      <c r="G43" s="187"/>
    </row>
    <row r="44" spans="2:7" x14ac:dyDescent="0.25">
      <c r="B44" s="8"/>
      <c r="C44" s="8"/>
      <c r="D44" s="455"/>
      <c r="E44" s="252"/>
      <c r="F44" s="252"/>
      <c r="G44" s="187"/>
    </row>
    <row r="45" spans="2:7" x14ac:dyDescent="0.25">
      <c r="B45" s="8"/>
      <c r="C45" s="8"/>
      <c r="D45" s="455"/>
      <c r="E45" s="252"/>
      <c r="F45" s="252"/>
      <c r="G45" s="187"/>
    </row>
    <row r="46" spans="2:7" x14ac:dyDescent="0.25">
      <c r="B46" s="8"/>
      <c r="C46" s="8"/>
      <c r="D46" s="455"/>
      <c r="E46" s="252"/>
      <c r="F46" s="252"/>
      <c r="G46" s="187"/>
    </row>
    <row r="47" spans="2:7" x14ac:dyDescent="0.25">
      <c r="B47" s="8"/>
      <c r="C47" s="8"/>
      <c r="D47" s="455"/>
      <c r="E47" s="252"/>
      <c r="F47" s="252"/>
      <c r="G47" s="187"/>
    </row>
    <row r="48" spans="2:7" x14ac:dyDescent="0.25">
      <c r="B48" s="8"/>
      <c r="C48" s="8"/>
      <c r="D48" s="455"/>
      <c r="E48" s="252"/>
      <c r="F48" s="252"/>
      <c r="G48" s="187"/>
    </row>
    <row r="49" spans="2:7" x14ac:dyDescent="0.25">
      <c r="B49" s="8"/>
      <c r="C49" s="8"/>
      <c r="D49" s="455"/>
      <c r="E49" s="252"/>
      <c r="F49" s="252"/>
      <c r="G49" s="187"/>
    </row>
    <row r="50" spans="2:7" x14ac:dyDescent="0.25">
      <c r="B50" s="8"/>
      <c r="C50" s="8"/>
      <c r="D50" s="455"/>
      <c r="E50" s="252"/>
      <c r="F50" s="252"/>
      <c r="G50" s="187"/>
    </row>
    <row r="51" spans="2:7" x14ac:dyDescent="0.25">
      <c r="B51" s="8"/>
      <c r="C51" s="8"/>
      <c r="D51" s="455"/>
      <c r="E51" s="252"/>
      <c r="F51" s="252"/>
      <c r="G51" s="187"/>
    </row>
    <row r="52" spans="2:7" x14ac:dyDescent="0.25">
      <c r="B52" s="8"/>
      <c r="C52" s="8"/>
      <c r="D52" s="455"/>
      <c r="E52" s="252"/>
      <c r="F52" s="252"/>
      <c r="G52" s="187"/>
    </row>
    <row r="53" spans="2:7" x14ac:dyDescent="0.25">
      <c r="B53" s="8"/>
      <c r="C53" s="8"/>
      <c r="D53" s="455"/>
      <c r="E53" s="252"/>
      <c r="F53" s="252"/>
      <c r="G53" s="187"/>
    </row>
    <row r="54" spans="2:7" x14ac:dyDescent="0.25">
      <c r="B54" s="8"/>
      <c r="C54" s="8"/>
      <c r="D54" s="455"/>
      <c r="E54" s="252"/>
      <c r="F54" s="252"/>
      <c r="G54" s="187"/>
    </row>
    <row r="55" spans="2:7" x14ac:dyDescent="0.25">
      <c r="B55" s="8"/>
      <c r="C55" s="8"/>
      <c r="D55" s="455"/>
      <c r="E55" s="252"/>
      <c r="F55" s="252"/>
      <c r="G55" s="187"/>
    </row>
    <row r="56" spans="2:7" x14ac:dyDescent="0.25">
      <c r="B56" s="8"/>
      <c r="C56" s="8"/>
      <c r="D56" s="455"/>
      <c r="E56" s="252"/>
      <c r="F56" s="252"/>
      <c r="G56" s="187"/>
    </row>
    <row r="57" spans="2:7" x14ac:dyDescent="0.25">
      <c r="B57" s="8"/>
      <c r="C57" s="8"/>
      <c r="D57" s="455"/>
      <c r="E57" s="252"/>
      <c r="F57" s="252"/>
      <c r="G57" s="187"/>
    </row>
    <row r="58" spans="2:7" x14ac:dyDescent="0.25">
      <c r="B58" s="8"/>
      <c r="C58" s="8"/>
      <c r="D58" s="455"/>
      <c r="E58" s="252"/>
      <c r="F58" s="252"/>
      <c r="G58" s="187"/>
    </row>
    <row r="59" spans="2:7" x14ac:dyDescent="0.25">
      <c r="B59" s="8"/>
      <c r="C59" s="8"/>
      <c r="D59" s="455"/>
      <c r="E59" s="252"/>
      <c r="F59" s="252"/>
      <c r="G59" s="187"/>
    </row>
    <row r="60" spans="2:7" x14ac:dyDescent="0.25">
      <c r="B60" s="8"/>
      <c r="C60" s="8"/>
      <c r="D60" s="455"/>
      <c r="E60" s="252"/>
      <c r="F60" s="252"/>
      <c r="G60" s="187"/>
    </row>
    <row r="61" spans="2:7" x14ac:dyDescent="0.25">
      <c r="B61" s="8"/>
      <c r="C61" s="8"/>
      <c r="D61" s="455"/>
      <c r="E61" s="252"/>
      <c r="F61" s="252"/>
      <c r="G61" s="187"/>
    </row>
    <row r="62" spans="2:7" x14ac:dyDescent="0.25">
      <c r="B62" s="8"/>
      <c r="C62" s="8"/>
      <c r="D62" s="455"/>
      <c r="E62" s="252"/>
      <c r="F62" s="252"/>
      <c r="G62" s="187"/>
    </row>
    <row r="63" spans="2:7" x14ac:dyDescent="0.25">
      <c r="B63" s="8"/>
      <c r="C63" s="8"/>
      <c r="D63" s="455"/>
      <c r="E63" s="252"/>
      <c r="F63" s="252"/>
      <c r="G63" s="187"/>
    </row>
    <row r="64" spans="2:7" x14ac:dyDescent="0.25">
      <c r="B64" s="8"/>
      <c r="C64" s="8"/>
      <c r="D64" s="455"/>
      <c r="E64" s="252"/>
      <c r="F64" s="252"/>
      <c r="G64" s="187"/>
    </row>
    <row r="65" spans="2:7" x14ac:dyDescent="0.25">
      <c r="B65" s="8"/>
      <c r="C65" s="8"/>
      <c r="D65" s="455"/>
      <c r="E65" s="252"/>
      <c r="F65" s="252"/>
      <c r="G65" s="187"/>
    </row>
    <row r="66" spans="2:7" x14ac:dyDescent="0.25">
      <c r="B66" s="8"/>
      <c r="C66" s="8"/>
      <c r="D66" s="455"/>
      <c r="E66" s="252"/>
      <c r="F66" s="252"/>
      <c r="G66" s="187"/>
    </row>
    <row r="67" spans="2:7" x14ac:dyDescent="0.25">
      <c r="B67" s="8"/>
      <c r="C67" s="8"/>
      <c r="D67" s="455"/>
      <c r="E67" s="252"/>
      <c r="F67" s="252"/>
      <c r="G67" s="187"/>
    </row>
    <row r="68" spans="2:7" x14ac:dyDescent="0.25">
      <c r="B68" s="8"/>
      <c r="C68" s="8"/>
      <c r="D68" s="455"/>
      <c r="E68" s="252"/>
      <c r="F68" s="252"/>
      <c r="G68" s="187"/>
    </row>
    <row r="69" spans="2:7" x14ac:dyDescent="0.25">
      <c r="B69" s="8"/>
      <c r="C69" s="8"/>
      <c r="D69" s="455"/>
      <c r="E69" s="252"/>
      <c r="F69" s="252"/>
      <c r="G69" s="187"/>
    </row>
    <row r="70" spans="2:7" x14ac:dyDescent="0.25">
      <c r="B70" s="8"/>
      <c r="C70" s="8"/>
      <c r="D70" s="455"/>
      <c r="E70" s="252"/>
      <c r="F70" s="252"/>
      <c r="G70" s="187"/>
    </row>
    <row r="71" spans="2:7" x14ac:dyDescent="0.25">
      <c r="B71" s="8"/>
      <c r="C71" s="8"/>
      <c r="D71" s="455"/>
      <c r="E71" s="252"/>
      <c r="F71" s="252"/>
      <c r="G71" s="187"/>
    </row>
    <row r="72" spans="2:7" x14ac:dyDescent="0.25">
      <c r="B72" s="8"/>
      <c r="C72" s="8"/>
      <c r="D72" s="455"/>
      <c r="E72" s="252"/>
      <c r="F72" s="252"/>
      <c r="G72" s="187"/>
    </row>
    <row r="73" spans="2:7" x14ac:dyDescent="0.25">
      <c r="B73" s="8"/>
      <c r="C73" s="8"/>
      <c r="D73" s="455"/>
      <c r="E73" s="252"/>
      <c r="F73" s="252"/>
      <c r="G73" s="187"/>
    </row>
    <row r="74" spans="2:7" x14ac:dyDescent="0.25">
      <c r="B74" s="8"/>
      <c r="C74" s="8"/>
      <c r="D74" s="455"/>
      <c r="E74" s="252"/>
      <c r="F74" s="252"/>
      <c r="G74" s="187"/>
    </row>
    <row r="75" spans="2:7" x14ac:dyDescent="0.25">
      <c r="B75" s="8"/>
      <c r="C75" s="8"/>
      <c r="D75" s="455"/>
      <c r="E75" s="252"/>
      <c r="F75" s="252"/>
      <c r="G75" s="187"/>
    </row>
    <row r="76" spans="2:7" x14ac:dyDescent="0.25">
      <c r="B76" s="8"/>
      <c r="C76" s="8"/>
      <c r="D76" s="455"/>
      <c r="E76" s="252"/>
      <c r="F76" s="252"/>
      <c r="G76" s="187"/>
    </row>
    <row r="77" spans="2:7" x14ac:dyDescent="0.25">
      <c r="B77" s="8"/>
      <c r="C77" s="8"/>
      <c r="D77" s="455"/>
      <c r="E77" s="252"/>
      <c r="F77" s="252"/>
      <c r="G77" s="187"/>
    </row>
    <row r="78" spans="2:7" x14ac:dyDescent="0.25">
      <c r="B78" s="8"/>
      <c r="C78" s="8"/>
      <c r="D78" s="455"/>
      <c r="E78" s="252"/>
      <c r="F78" s="252"/>
      <c r="G78" s="187"/>
    </row>
    <row r="79" spans="2:7" x14ac:dyDescent="0.25">
      <c r="B79" s="8"/>
      <c r="C79" s="8"/>
      <c r="D79" s="455"/>
      <c r="E79" s="252"/>
      <c r="F79" s="252"/>
      <c r="G79" s="187"/>
    </row>
    <row r="80" spans="2:7" x14ac:dyDescent="0.25">
      <c r="B80" s="8"/>
      <c r="C80" s="8"/>
      <c r="D80" s="455"/>
      <c r="E80" s="252"/>
      <c r="F80" s="252"/>
      <c r="G80" s="187"/>
    </row>
    <row r="81" spans="2:7" x14ac:dyDescent="0.25">
      <c r="B81" s="8"/>
      <c r="C81" s="8"/>
      <c r="D81" s="455"/>
      <c r="E81" s="252"/>
      <c r="F81" s="252"/>
      <c r="G81" s="187"/>
    </row>
    <row r="82" spans="2:7" x14ac:dyDescent="0.25">
      <c r="B82" s="8"/>
      <c r="C82" s="8"/>
      <c r="D82" s="455"/>
      <c r="E82" s="252"/>
      <c r="F82" s="252"/>
      <c r="G82" s="187"/>
    </row>
    <row r="83" spans="2:7" x14ac:dyDescent="0.25">
      <c r="B83" s="8"/>
      <c r="C83" s="8"/>
      <c r="D83" s="455"/>
      <c r="E83" s="252"/>
      <c r="F83" s="252"/>
      <c r="G83" s="187"/>
    </row>
    <row r="84" spans="2:7" x14ac:dyDescent="0.25">
      <c r="B84" s="8"/>
      <c r="C84" s="8"/>
      <c r="D84" s="455"/>
      <c r="E84" s="252"/>
      <c r="F84" s="252"/>
      <c r="G84" s="187"/>
    </row>
    <row r="85" spans="2:7" x14ac:dyDescent="0.25">
      <c r="B85" s="8"/>
      <c r="C85" s="8"/>
      <c r="D85" s="455"/>
      <c r="E85" s="252"/>
      <c r="F85" s="252"/>
      <c r="G85" s="187"/>
    </row>
    <row r="86" spans="2:7" x14ac:dyDescent="0.25">
      <c r="B86" s="8"/>
      <c r="C86" s="8"/>
      <c r="D86" s="455"/>
      <c r="E86" s="252"/>
      <c r="F86" s="252"/>
      <c r="G86" s="187"/>
    </row>
    <row r="87" spans="2:7" x14ac:dyDescent="0.25">
      <c r="B87" s="8"/>
      <c r="C87" s="8"/>
      <c r="D87" s="455"/>
      <c r="E87" s="252"/>
      <c r="F87" s="252"/>
      <c r="G87" s="187"/>
    </row>
    <row r="88" spans="2:7" x14ac:dyDescent="0.25">
      <c r="B88" s="8"/>
      <c r="C88" s="8"/>
      <c r="D88" s="455"/>
      <c r="E88" s="252"/>
      <c r="F88" s="252"/>
      <c r="G88" s="187"/>
    </row>
    <row r="89" spans="2:7" x14ac:dyDescent="0.25">
      <c r="B89" s="8"/>
      <c r="C89" s="8"/>
      <c r="D89" s="455"/>
      <c r="E89" s="252"/>
      <c r="F89" s="252"/>
      <c r="G89" s="187"/>
    </row>
    <row r="90" spans="2:7" x14ac:dyDescent="0.25">
      <c r="B90" s="8"/>
      <c r="C90" s="8"/>
      <c r="D90" s="455"/>
      <c r="E90" s="252"/>
      <c r="F90" s="252"/>
      <c r="G90" s="187"/>
    </row>
    <row r="91" spans="2:7" x14ac:dyDescent="0.25">
      <c r="B91" s="8"/>
      <c r="C91" s="8"/>
      <c r="D91" s="455"/>
      <c r="E91" s="252"/>
      <c r="F91" s="252"/>
      <c r="G91" s="187"/>
    </row>
    <row r="92" spans="2:7" x14ac:dyDescent="0.25">
      <c r="B92" s="8"/>
      <c r="C92" s="8"/>
      <c r="D92" s="455"/>
      <c r="E92" s="252"/>
      <c r="F92" s="252"/>
      <c r="G92" s="187"/>
    </row>
    <row r="93" spans="2:7" x14ac:dyDescent="0.25">
      <c r="B93" s="8"/>
      <c r="C93" s="8"/>
      <c r="D93" s="455"/>
      <c r="E93" s="252"/>
      <c r="F93" s="252"/>
      <c r="G93" s="187"/>
    </row>
    <row r="94" spans="2:7" x14ac:dyDescent="0.25">
      <c r="B94" s="8"/>
      <c r="C94" s="8"/>
      <c r="D94" s="455"/>
      <c r="E94" s="252"/>
      <c r="F94" s="252"/>
      <c r="G94" s="187"/>
    </row>
    <row r="95" spans="2:7" x14ac:dyDescent="0.25">
      <c r="B95" s="8"/>
      <c r="C95" s="8"/>
      <c r="D95" s="455"/>
      <c r="E95" s="252"/>
      <c r="F95" s="252"/>
      <c r="G95" s="187"/>
    </row>
    <row r="96" spans="2:7" x14ac:dyDescent="0.25">
      <c r="B96" s="8"/>
      <c r="C96" s="8"/>
      <c r="D96" s="455"/>
      <c r="E96" s="252"/>
      <c r="F96" s="252"/>
      <c r="G96" s="187"/>
    </row>
    <row r="97" spans="2:7" x14ac:dyDescent="0.25">
      <c r="B97" s="8"/>
      <c r="C97" s="8"/>
      <c r="D97" s="455"/>
      <c r="E97" s="252"/>
      <c r="F97" s="252"/>
      <c r="G97" s="187"/>
    </row>
    <row r="98" spans="2:7" x14ac:dyDescent="0.25">
      <c r="B98" s="8"/>
      <c r="C98" s="8"/>
      <c r="D98" s="455"/>
      <c r="E98" s="252"/>
      <c r="F98" s="252"/>
      <c r="G98" s="187"/>
    </row>
    <row r="99" spans="2:7" x14ac:dyDescent="0.25">
      <c r="B99" s="8"/>
      <c r="C99" s="8"/>
      <c r="D99" s="455"/>
      <c r="E99" s="252"/>
      <c r="F99" s="252"/>
      <c r="G99" s="187"/>
    </row>
    <row r="100" spans="2:7" x14ac:dyDescent="0.25">
      <c r="B100" s="8"/>
      <c r="C100" s="8"/>
      <c r="D100" s="455"/>
      <c r="E100" s="252"/>
      <c r="F100" s="252"/>
      <c r="G100" s="187"/>
    </row>
    <row r="101" spans="2:7" x14ac:dyDescent="0.25">
      <c r="B101" s="7" t="s">
        <v>33</v>
      </c>
      <c r="C101" s="7"/>
      <c r="D101" s="458">
        <f>SUBTOTAL(109,Recettes[Montant])</f>
        <v>0</v>
      </c>
      <c r="E101" s="7"/>
      <c r="F101" s="7"/>
      <c r="G101" s="7">
        <f>SUBTOTAL(103,Recettes[Commentaire])</f>
        <v>0</v>
      </c>
    </row>
  </sheetData>
  <sheetProtection algorithmName="SHA-512" hashValue="dF7gsdEmuaFw/Ee31wslt4A4C1e5MzJmrCT8H7RMdrMgjiNpjLtPaFKjjJ3LnLh1mHQtYdYrl+W/pBnOq6zmKg==" saltValue="yM/NaCMyy83TC/Q9uC5a/A==" spinCount="100000" sheet="1" selectLockedCells="1" autoFilter="0"/>
  <pageMargins left="0.7" right="0.7" top="0.75" bottom="0.75" header="0.3" footer="0.3"/>
  <pageSetup paperSize="9" scale="62" fitToHeight="0" orientation="portrait" r:id="rId1"/>
  <drawing r:id="rId2"/>
  <tableParts count="1">
    <tablePart r:id="rId3"/>
  </tablePart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800-000000000000}">
          <x14:formula1>
            <xm:f>'Variable et Dropdowns'!$M$2:$M$9</xm:f>
          </x14:formula1>
          <xm:sqref>E9:E100</xm:sqref>
        </x14:dataValidation>
        <x14:dataValidation type="list" allowBlank="1" showInputMessage="1" showErrorMessage="1" xr:uid="{00000000-0002-0000-0800-000001000000}">
          <x14:formula1>
            <xm:f>'Variable et Dropdowns'!$K$2:$K$7</xm:f>
          </x14:formula1>
          <xm:sqref>F9:F100</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17</vt:i4>
      </vt:variant>
      <vt:variant>
        <vt:lpstr>Named Ranges</vt:lpstr>
      </vt:variant>
      <vt:variant>
        <vt:i4>15</vt:i4>
      </vt:variant>
    </vt:vector>
  </HeadingPairs>
  <TitlesOfParts>
    <vt:vector size="32" baseType="lpstr">
      <vt:lpstr>Informations générales 1</vt:lpstr>
      <vt:lpstr>Information générales 2</vt:lpstr>
      <vt:lpstr>Information générales 3</vt:lpstr>
      <vt:lpstr>BPI</vt:lpstr>
      <vt:lpstr>EBS &amp; Renfort Temporaire</vt:lpstr>
      <vt:lpstr>FONCTIONNEMENT</vt:lpstr>
      <vt:lpstr>SALAIRES CCT SAS</vt:lpstr>
      <vt:lpstr>SALAIRES COMMUNE</vt:lpstr>
      <vt:lpstr>RECETTES</vt:lpstr>
      <vt:lpstr>TABLEAU FINAL</vt:lpstr>
      <vt:lpstr>TABLEAU FINAL COVID</vt:lpstr>
      <vt:lpstr>Variable et Dropdowns</vt:lpstr>
      <vt:lpstr>ETP RECAP</vt:lpstr>
      <vt:lpstr>REVEX</vt:lpstr>
      <vt:lpstr>RTT</vt:lpstr>
      <vt:lpstr>Grille CCT SAS</vt:lpstr>
      <vt:lpstr>Grille communale</vt:lpstr>
      <vt:lpstr>Employé</vt:lpstr>
      <vt:lpstr>Fonctionnaire</vt:lpstr>
      <vt:lpstr>BPI!Print_Area</vt:lpstr>
      <vt:lpstr>'EBS &amp; Renfort Temporaire'!Print_Area</vt:lpstr>
      <vt:lpstr>FONCTIONNEMENT!Print_Area</vt:lpstr>
      <vt:lpstr>'Information générales 2'!Print_Area</vt:lpstr>
      <vt:lpstr>'Information générales 3'!Print_Area</vt:lpstr>
      <vt:lpstr>'Informations générales 1'!Print_Area</vt:lpstr>
      <vt:lpstr>RECETTES!Print_Area</vt:lpstr>
      <vt:lpstr>'SALAIRES CCT SAS'!Print_Area</vt:lpstr>
      <vt:lpstr>'SALAIRES COMMUNE'!Print_Area</vt:lpstr>
      <vt:lpstr>'TABLEAU FINAL'!Print_Area</vt:lpstr>
      <vt:lpstr>'TABLEAU FINAL COVID'!Print_Area</vt:lpstr>
      <vt:lpstr>Redressement</vt:lpstr>
      <vt:lpstr>Salarié</vt:lpstr>
    </vt:vector>
  </TitlesOfParts>
  <Company>MENJE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André Van Kaufenbergh</dc:creator>
  <cp:lastModifiedBy>Lynn HANSEL</cp:lastModifiedBy>
  <cp:lastPrinted>2020-11-11T13:49:00Z</cp:lastPrinted>
  <dcterms:created xsi:type="dcterms:W3CDTF">2019-10-29T09:35:06Z</dcterms:created>
  <dcterms:modified xsi:type="dcterms:W3CDTF">2021-04-21T06:50:26Z</dcterms:modified>
</cp:coreProperties>
</file>